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rea &amp; Production Group Wise" sheetId="1" r:id="rId1"/>
    <sheet name="Area &amp; Production Fruit Wise" sheetId="2" r:id="rId2"/>
    <sheet name="Plants Distribution" sheetId="3" r:id="rId3"/>
    <sheet name="Floriculture" sheetId="4" r:id="rId4"/>
    <sheet name="Bee-keeping" sheetId="5" r:id="rId5"/>
    <sheet name="Training" sheetId="6" r:id="rId6"/>
  </sheets>
  <calcPr calcId="124519"/>
</workbook>
</file>

<file path=xl/calcChain.xml><?xml version="1.0" encoding="utf-8"?>
<calcChain xmlns="http://schemas.openxmlformats.org/spreadsheetml/2006/main">
  <c r="L15" i="4"/>
  <c r="L8"/>
  <c r="L13"/>
  <c r="L12"/>
  <c r="L11"/>
  <c r="L10"/>
  <c r="L9"/>
  <c r="L7"/>
  <c r="L6"/>
  <c r="L5"/>
  <c r="N16" i="6"/>
  <c r="R15"/>
  <c r="Q15"/>
  <c r="J15"/>
  <c r="I15"/>
  <c r="C15"/>
  <c r="N15" s="1"/>
  <c r="R14"/>
  <c r="Q14"/>
  <c r="J14"/>
  <c r="C14"/>
  <c r="N14" s="1"/>
  <c r="R13"/>
  <c r="Q13"/>
  <c r="J13"/>
  <c r="I13"/>
  <c r="C13"/>
  <c r="N13" s="1"/>
  <c r="R12"/>
  <c r="Q12"/>
  <c r="J12"/>
  <c r="D12"/>
  <c r="N12" s="1"/>
  <c r="C12"/>
  <c r="R11"/>
  <c r="Q11"/>
  <c r="J11"/>
  <c r="I11"/>
  <c r="E11"/>
  <c r="D11"/>
  <c r="N11" s="1"/>
  <c r="C11"/>
  <c r="R10"/>
  <c r="Q10"/>
  <c r="J10"/>
  <c r="C10"/>
  <c r="N10" s="1"/>
  <c r="R9"/>
  <c r="Q9"/>
  <c r="L9"/>
  <c r="J9"/>
  <c r="E9"/>
  <c r="C9"/>
  <c r="N9" s="1"/>
  <c r="R8"/>
  <c r="Q8"/>
  <c r="L8"/>
  <c r="J8"/>
  <c r="N8" s="1"/>
  <c r="C8"/>
  <c r="R7"/>
  <c r="Q7"/>
  <c r="J7"/>
  <c r="D7"/>
  <c r="N7" s="1"/>
  <c r="C7"/>
  <c r="R6"/>
  <c r="Q6"/>
  <c r="L6"/>
  <c r="J6"/>
  <c r="N6" s="1"/>
  <c r="C6"/>
  <c r="N13" i="5"/>
  <c r="M13"/>
  <c r="H15" i="4"/>
  <c r="E15"/>
  <c r="D15"/>
  <c r="C15"/>
  <c r="U15" s="1"/>
  <c r="U14"/>
  <c r="J13"/>
  <c r="H13"/>
  <c r="E13"/>
  <c r="C13"/>
  <c r="J12"/>
  <c r="H12"/>
  <c r="E12"/>
  <c r="C12"/>
  <c r="J11"/>
  <c r="H11"/>
  <c r="E11"/>
  <c r="D11"/>
  <c r="C11"/>
  <c r="U11" s="1"/>
  <c r="H10"/>
  <c r="G10"/>
  <c r="F10"/>
  <c r="E10"/>
  <c r="C10"/>
  <c r="U10" s="1"/>
  <c r="H9"/>
  <c r="F9"/>
  <c r="E9"/>
  <c r="D9"/>
  <c r="C9"/>
  <c r="U9" s="1"/>
  <c r="J8"/>
  <c r="H8"/>
  <c r="F8"/>
  <c r="E8"/>
  <c r="D8"/>
  <c r="C8"/>
  <c r="U8" s="1"/>
  <c r="J7"/>
  <c r="H7"/>
  <c r="F7"/>
  <c r="E7"/>
  <c r="D7"/>
  <c r="C7"/>
  <c r="H6"/>
  <c r="F6"/>
  <c r="E6"/>
  <c r="C6"/>
  <c r="J5"/>
  <c r="H5"/>
  <c r="F5"/>
  <c r="E5"/>
  <c r="D5"/>
  <c r="C5"/>
  <c r="AT54" i="3"/>
  <c r="AR54"/>
  <c r="AP54"/>
  <c r="AL54"/>
  <c r="AH54"/>
  <c r="AD54"/>
  <c r="Z54"/>
  <c r="V54"/>
  <c r="R54"/>
  <c r="N54"/>
  <c r="J54"/>
  <c r="F54"/>
  <c r="AU53"/>
  <c r="AQ53"/>
  <c r="AM53"/>
  <c r="AI53"/>
  <c r="AE53"/>
  <c r="AA53"/>
  <c r="W53"/>
  <c r="S53"/>
  <c r="O53"/>
  <c r="K53"/>
  <c r="G53"/>
  <c r="AU52"/>
  <c r="AQ52"/>
  <c r="AM52"/>
  <c r="AI52"/>
  <c r="AE52"/>
  <c r="AA52"/>
  <c r="W52"/>
  <c r="S52"/>
  <c r="O52"/>
  <c r="K52"/>
  <c r="G52"/>
  <c r="AU51"/>
  <c r="AQ51"/>
  <c r="AK51"/>
  <c r="AM51" s="1"/>
  <c r="AI51"/>
  <c r="AC51"/>
  <c r="AE51" s="1"/>
  <c r="AA51"/>
  <c r="W51"/>
  <c r="S51"/>
  <c r="M51"/>
  <c r="O51" s="1"/>
  <c r="K51"/>
  <c r="G51"/>
  <c r="AS50"/>
  <c r="AU50" s="1"/>
  <c r="AO50"/>
  <c r="AN50"/>
  <c r="AN54" s="1"/>
  <c r="AK50"/>
  <c r="AM50" s="1"/>
  <c r="AG50"/>
  <c r="AF50"/>
  <c r="AF54" s="1"/>
  <c r="AC50"/>
  <c r="AB50"/>
  <c r="AE50" s="1"/>
  <c r="Y50"/>
  <c r="Y54" s="1"/>
  <c r="X50"/>
  <c r="X54" s="1"/>
  <c r="U50"/>
  <c r="T50"/>
  <c r="T54" s="1"/>
  <c r="Q50"/>
  <c r="P50"/>
  <c r="P54" s="1"/>
  <c r="M50"/>
  <c r="L50"/>
  <c r="L54" s="1"/>
  <c r="I50"/>
  <c r="H50"/>
  <c r="H54" s="1"/>
  <c r="E50"/>
  <c r="D50"/>
  <c r="D54" s="1"/>
  <c r="AU49"/>
  <c r="AQ49"/>
  <c r="AM49"/>
  <c r="AI49"/>
  <c r="AB49"/>
  <c r="AE49" s="1"/>
  <c r="AA49"/>
  <c r="W49"/>
  <c r="S49"/>
  <c r="O49"/>
  <c r="M49"/>
  <c r="K49"/>
  <c r="I49"/>
  <c r="G49"/>
  <c r="E49"/>
  <c r="AU48"/>
  <c r="AU54" s="1"/>
  <c r="AS48"/>
  <c r="AS54" s="1"/>
  <c r="AQ48"/>
  <c r="AO48"/>
  <c r="AO54" s="1"/>
  <c r="AK48"/>
  <c r="AK54" s="1"/>
  <c r="AJ48"/>
  <c r="AJ54" s="1"/>
  <c r="AG48"/>
  <c r="AI48" s="1"/>
  <c r="AC48"/>
  <c r="AC54" s="1"/>
  <c r="AB48"/>
  <c r="AB54" s="1"/>
  <c r="AA48"/>
  <c r="U48"/>
  <c r="W48" s="1"/>
  <c r="Q48"/>
  <c r="S48" s="1"/>
  <c r="M48"/>
  <c r="O48" s="1"/>
  <c r="I48"/>
  <c r="K48" s="1"/>
  <c r="E48"/>
  <c r="G48" s="1"/>
  <c r="AT47"/>
  <c r="AR47"/>
  <c r="AP47"/>
  <c r="AN47"/>
  <c r="AL47"/>
  <c r="AJ47"/>
  <c r="AH47"/>
  <c r="AG47"/>
  <c r="AF47"/>
  <c r="AD47"/>
  <c r="AB47"/>
  <c r="Z47"/>
  <c r="X47"/>
  <c r="V47"/>
  <c r="U47"/>
  <c r="R47"/>
  <c r="N47"/>
  <c r="J47"/>
  <c r="F47"/>
  <c r="D47"/>
  <c r="AU46"/>
  <c r="AQ46"/>
  <c r="AM46"/>
  <c r="AI46"/>
  <c r="AE46"/>
  <c r="AA46"/>
  <c r="W46"/>
  <c r="S46"/>
  <c r="O46"/>
  <c r="K46"/>
  <c r="G46"/>
  <c r="AU45"/>
  <c r="AQ45"/>
  <c r="AM45"/>
  <c r="AI45"/>
  <c r="AE45"/>
  <c r="AA45"/>
  <c r="W45"/>
  <c r="S45"/>
  <c r="O45"/>
  <c r="K45"/>
  <c r="G45"/>
  <c r="AU44"/>
  <c r="AQ44"/>
  <c r="AM44"/>
  <c r="AI44"/>
  <c r="AE44"/>
  <c r="AA44"/>
  <c r="W44"/>
  <c r="S44"/>
  <c r="O44"/>
  <c r="K44"/>
  <c r="G44"/>
  <c r="AU43"/>
  <c r="AQ43"/>
  <c r="AM43"/>
  <c r="AI43"/>
  <c r="AE43"/>
  <c r="AA43"/>
  <c r="W43"/>
  <c r="S43"/>
  <c r="O43"/>
  <c r="K43"/>
  <c r="G43"/>
  <c r="AU42"/>
  <c r="AQ42"/>
  <c r="AM42"/>
  <c r="AI42"/>
  <c r="AE42"/>
  <c r="AA42"/>
  <c r="W42"/>
  <c r="S42"/>
  <c r="O42"/>
  <c r="K42"/>
  <c r="G42"/>
  <c r="AU41"/>
  <c r="AQ41"/>
  <c r="AM41"/>
  <c r="AI41"/>
  <c r="AE41"/>
  <c r="AA41"/>
  <c r="W41"/>
  <c r="S41"/>
  <c r="O41"/>
  <c r="K41"/>
  <c r="G41"/>
  <c r="AU40"/>
  <c r="AQ40"/>
  <c r="AM40"/>
  <c r="AI40"/>
  <c r="AE40"/>
  <c r="AA40"/>
  <c r="W40"/>
  <c r="S40"/>
  <c r="O40"/>
  <c r="K40"/>
  <c r="G40"/>
  <c r="AU39"/>
  <c r="AQ39"/>
  <c r="AM39"/>
  <c r="AI39"/>
  <c r="AE39"/>
  <c r="AA39"/>
  <c r="W39"/>
  <c r="S39"/>
  <c r="O39"/>
  <c r="K39"/>
  <c r="G39"/>
  <c r="AU38"/>
  <c r="AQ38"/>
  <c r="AM38"/>
  <c r="AI38"/>
  <c r="AE38"/>
  <c r="AA38"/>
  <c r="W38"/>
  <c r="S38"/>
  <c r="O38"/>
  <c r="K38"/>
  <c r="G38"/>
  <c r="AU37"/>
  <c r="AQ37"/>
  <c r="AM37"/>
  <c r="AI37"/>
  <c r="AE37"/>
  <c r="AA37"/>
  <c r="W37"/>
  <c r="S37"/>
  <c r="O37"/>
  <c r="K37"/>
  <c r="G37"/>
  <c r="AU36"/>
  <c r="AQ36"/>
  <c r="AM36"/>
  <c r="AI36"/>
  <c r="AE36"/>
  <c r="AA36"/>
  <c r="W36"/>
  <c r="S36"/>
  <c r="O36"/>
  <c r="K36"/>
  <c r="G36"/>
  <c r="AU35"/>
  <c r="AQ35"/>
  <c r="AM35"/>
  <c r="AI35"/>
  <c r="AE35"/>
  <c r="AA35"/>
  <c r="W35"/>
  <c r="S35"/>
  <c r="O35"/>
  <c r="K35"/>
  <c r="G35"/>
  <c r="AU34"/>
  <c r="AQ34"/>
  <c r="AM34"/>
  <c r="AI34"/>
  <c r="AE34"/>
  <c r="AA34"/>
  <c r="W34"/>
  <c r="S34"/>
  <c r="O34"/>
  <c r="K34"/>
  <c r="G34"/>
  <c r="AU33"/>
  <c r="AO33"/>
  <c r="AQ33" s="1"/>
  <c r="AM33"/>
  <c r="AI33"/>
  <c r="AE33"/>
  <c r="AA33"/>
  <c r="Y33"/>
  <c r="W33"/>
  <c r="Q33"/>
  <c r="S33" s="1"/>
  <c r="M33"/>
  <c r="O33" s="1"/>
  <c r="I33"/>
  <c r="K33" s="1"/>
  <c r="E33"/>
  <c r="G33" s="1"/>
  <c r="AS32"/>
  <c r="AU32" s="1"/>
  <c r="AO32"/>
  <c r="AQ32" s="1"/>
  <c r="AM32"/>
  <c r="AI32"/>
  <c r="AC32"/>
  <c r="AE32" s="1"/>
  <c r="AA32"/>
  <c r="W32"/>
  <c r="T32"/>
  <c r="S32"/>
  <c r="P32"/>
  <c r="O32"/>
  <c r="I32"/>
  <c r="K32" s="1"/>
  <c r="G32"/>
  <c r="AU31"/>
  <c r="AQ31"/>
  <c r="AM31"/>
  <c r="AI31"/>
  <c r="AE31"/>
  <c r="AA31"/>
  <c r="W31"/>
  <c r="S31"/>
  <c r="O31"/>
  <c r="K31"/>
  <c r="G31"/>
  <c r="AS30"/>
  <c r="AU30" s="1"/>
  <c r="AO30"/>
  <c r="AQ30" s="1"/>
  <c r="AK30"/>
  <c r="AM30" s="1"/>
  <c r="AI30"/>
  <c r="AE30"/>
  <c r="Y30"/>
  <c r="AA30" s="1"/>
  <c r="W30"/>
  <c r="S30"/>
  <c r="M30"/>
  <c r="L30"/>
  <c r="O30" s="1"/>
  <c r="K30"/>
  <c r="I30"/>
  <c r="G30"/>
  <c r="E30"/>
  <c r="AU29"/>
  <c r="AS29"/>
  <c r="AQ29"/>
  <c r="AO29"/>
  <c r="AM29"/>
  <c r="AK29"/>
  <c r="AI29"/>
  <c r="AC29"/>
  <c r="AE29" s="1"/>
  <c r="Y29"/>
  <c r="AA29" s="1"/>
  <c r="W29"/>
  <c r="T29"/>
  <c r="S29"/>
  <c r="O29"/>
  <c r="K29"/>
  <c r="G29"/>
  <c r="AS28"/>
  <c r="AS47" s="1"/>
  <c r="AQ28"/>
  <c r="AQ47" s="1"/>
  <c r="AO28"/>
  <c r="AO47" s="1"/>
  <c r="AM28"/>
  <c r="AM47" s="1"/>
  <c r="AK28"/>
  <c r="AK47" s="1"/>
  <c r="AI28"/>
  <c r="AI47" s="1"/>
  <c r="AC28"/>
  <c r="AC47" s="1"/>
  <c r="Y28"/>
  <c r="Y47" s="1"/>
  <c r="T28"/>
  <c r="T47" s="1"/>
  <c r="Q28"/>
  <c r="Q47" s="1"/>
  <c r="P28"/>
  <c r="P47" s="1"/>
  <c r="M28"/>
  <c r="M47" s="1"/>
  <c r="L28"/>
  <c r="O28" s="1"/>
  <c r="O47" s="1"/>
  <c r="I28"/>
  <c r="I47" s="1"/>
  <c r="H28"/>
  <c r="H47" s="1"/>
  <c r="E28"/>
  <c r="E47" s="1"/>
  <c r="AT27"/>
  <c r="AS27"/>
  <c r="AP27"/>
  <c r="AO27"/>
  <c r="AN27"/>
  <c r="AL27"/>
  <c r="AJ27"/>
  <c r="AH27"/>
  <c r="AG27"/>
  <c r="AD27"/>
  <c r="AC27"/>
  <c r="Z27"/>
  <c r="Y27"/>
  <c r="X27"/>
  <c r="V27"/>
  <c r="U27"/>
  <c r="T27"/>
  <c r="R27"/>
  <c r="Q27"/>
  <c r="N27"/>
  <c r="M27"/>
  <c r="L27"/>
  <c r="J27"/>
  <c r="I27"/>
  <c r="H27"/>
  <c r="F27"/>
  <c r="D27"/>
  <c r="AU26"/>
  <c r="AQ26"/>
  <c r="AM26"/>
  <c r="AI26"/>
  <c r="AE26"/>
  <c r="AA26"/>
  <c r="W26"/>
  <c r="S26"/>
  <c r="O26"/>
  <c r="K26"/>
  <c r="G26"/>
  <c r="AU25"/>
  <c r="AQ25"/>
  <c r="AM25"/>
  <c r="AI25"/>
  <c r="AE25"/>
  <c r="AA25"/>
  <c r="W25"/>
  <c r="S25"/>
  <c r="O25"/>
  <c r="K25"/>
  <c r="G25"/>
  <c r="AU24"/>
  <c r="AQ24"/>
  <c r="AM24"/>
  <c r="AI24"/>
  <c r="AE24"/>
  <c r="AA24"/>
  <c r="W24"/>
  <c r="S24"/>
  <c r="O24"/>
  <c r="K24"/>
  <c r="G24"/>
  <c r="AU23"/>
  <c r="AQ23"/>
  <c r="AM23"/>
  <c r="AI23"/>
  <c r="AE23"/>
  <c r="AA23"/>
  <c r="W23"/>
  <c r="S23"/>
  <c r="O23"/>
  <c r="K23"/>
  <c r="G23"/>
  <c r="AU22"/>
  <c r="AR22"/>
  <c r="AR27" s="1"/>
  <c r="AQ22"/>
  <c r="AK22"/>
  <c r="AK27" s="1"/>
  <c r="AF22"/>
  <c r="AF27" s="1"/>
  <c r="AB22"/>
  <c r="AB27" s="1"/>
  <c r="AA22"/>
  <c r="W22"/>
  <c r="S22"/>
  <c r="O22"/>
  <c r="K22"/>
  <c r="G22"/>
  <c r="AU21"/>
  <c r="AU27" s="1"/>
  <c r="AQ21"/>
  <c r="AQ27" s="1"/>
  <c r="AM21"/>
  <c r="AI21"/>
  <c r="AE21"/>
  <c r="AA21"/>
  <c r="AA27" s="1"/>
  <c r="W21"/>
  <c r="W27" s="1"/>
  <c r="S21"/>
  <c r="S27" s="1"/>
  <c r="P21"/>
  <c r="P27" s="1"/>
  <c r="O21"/>
  <c r="O27" s="1"/>
  <c r="K21"/>
  <c r="K27" s="1"/>
  <c r="G21"/>
  <c r="G27" s="1"/>
  <c r="E21"/>
  <c r="E27" s="1"/>
  <c r="AT20"/>
  <c r="AT55" s="1"/>
  <c r="AP20"/>
  <c r="AP55" s="1"/>
  <c r="AL20"/>
  <c r="AL55" s="1"/>
  <c r="AH20"/>
  <c r="AH55" s="1"/>
  <c r="AD20"/>
  <c r="AD55" s="1"/>
  <c r="Z20"/>
  <c r="Z55" s="1"/>
  <c r="Y20"/>
  <c r="V20"/>
  <c r="V55" s="1"/>
  <c r="U20"/>
  <c r="R20"/>
  <c r="R55" s="1"/>
  <c r="Q20"/>
  <c r="N20"/>
  <c r="N55" s="1"/>
  <c r="J20"/>
  <c r="J55" s="1"/>
  <c r="F20"/>
  <c r="F55" s="1"/>
  <c r="AU19"/>
  <c r="AQ19"/>
  <c r="AM19"/>
  <c r="AI19"/>
  <c r="AE19"/>
  <c r="AA19"/>
  <c r="W19"/>
  <c r="S19"/>
  <c r="O19"/>
  <c r="K19"/>
  <c r="G19"/>
  <c r="AU18"/>
  <c r="AQ18"/>
  <c r="AM18"/>
  <c r="AI18"/>
  <c r="AE18"/>
  <c r="AA18"/>
  <c r="W18"/>
  <c r="S18"/>
  <c r="O18"/>
  <c r="K18"/>
  <c r="G18"/>
  <c r="AU17"/>
  <c r="AQ17"/>
  <c r="AM17"/>
  <c r="AI17"/>
  <c r="AE17"/>
  <c r="AA17"/>
  <c r="W17"/>
  <c r="S17"/>
  <c r="O17"/>
  <c r="K17"/>
  <c r="G17"/>
  <c r="AU16"/>
  <c r="AQ16"/>
  <c r="AM16"/>
  <c r="AI16"/>
  <c r="AE16"/>
  <c r="AA16"/>
  <c r="W16"/>
  <c r="S16"/>
  <c r="O16"/>
  <c r="K16"/>
  <c r="G16"/>
  <c r="AU15"/>
  <c r="AQ15"/>
  <c r="AM15"/>
  <c r="AI15"/>
  <c r="AE15"/>
  <c r="AA15"/>
  <c r="W15"/>
  <c r="S15"/>
  <c r="O15"/>
  <c r="K15"/>
  <c r="G15"/>
  <c r="AU14"/>
  <c r="AQ14"/>
  <c r="AM14"/>
  <c r="AI14"/>
  <c r="AE14"/>
  <c r="AA14"/>
  <c r="W14"/>
  <c r="S14"/>
  <c r="O14"/>
  <c r="K14"/>
  <c r="G14"/>
  <c r="AS13"/>
  <c r="AU13" s="1"/>
  <c r="AO13"/>
  <c r="AQ13" s="1"/>
  <c r="AK13"/>
  <c r="AM13" s="1"/>
  <c r="AG13"/>
  <c r="AI13" s="1"/>
  <c r="AB13"/>
  <c r="AE13" s="1"/>
  <c r="AA13"/>
  <c r="X13"/>
  <c r="W13"/>
  <c r="T13"/>
  <c r="S13"/>
  <c r="P13"/>
  <c r="M13"/>
  <c r="L13"/>
  <c r="O13" s="1"/>
  <c r="I13"/>
  <c r="H13"/>
  <c r="K13" s="1"/>
  <c r="E13"/>
  <c r="D13"/>
  <c r="G13" s="1"/>
  <c r="AS12"/>
  <c r="AU12" s="1"/>
  <c r="AQ12"/>
  <c r="AM12"/>
  <c r="AG12"/>
  <c r="AI12" s="1"/>
  <c r="AE12"/>
  <c r="AA12"/>
  <c r="W12"/>
  <c r="S12"/>
  <c r="O12"/>
  <c r="K12"/>
  <c r="G12"/>
  <c r="AU11"/>
  <c r="AQ11"/>
  <c r="AM11"/>
  <c r="AI11"/>
  <c r="AE11"/>
  <c r="AA11"/>
  <c r="W11"/>
  <c r="S11"/>
  <c r="O11"/>
  <c r="I11"/>
  <c r="I20" s="1"/>
  <c r="G11"/>
  <c r="AR10"/>
  <c r="AU10" s="1"/>
  <c r="AQ10"/>
  <c r="AM10"/>
  <c r="AI10"/>
  <c r="AE10"/>
  <c r="AA10"/>
  <c r="W10"/>
  <c r="S10"/>
  <c r="P10"/>
  <c r="O10"/>
  <c r="K10"/>
  <c r="E10"/>
  <c r="D10"/>
  <c r="G10" s="1"/>
  <c r="AU9"/>
  <c r="AO9"/>
  <c r="AN9"/>
  <c r="AQ9" s="1"/>
  <c r="AK9"/>
  <c r="AM9" s="1"/>
  <c r="AG9"/>
  <c r="AI9" s="1"/>
  <c r="AC9"/>
  <c r="AB9"/>
  <c r="AE9" s="1"/>
  <c r="X9"/>
  <c r="AA9" s="1"/>
  <c r="W9"/>
  <c r="T9"/>
  <c r="S9"/>
  <c r="P9"/>
  <c r="M9"/>
  <c r="L9"/>
  <c r="O9" s="1"/>
  <c r="H9"/>
  <c r="K9" s="1"/>
  <c r="E9"/>
  <c r="D9"/>
  <c r="G9" s="1"/>
  <c r="AU8"/>
  <c r="AS8"/>
  <c r="AO8"/>
  <c r="AN8"/>
  <c r="AQ8" s="1"/>
  <c r="AK8"/>
  <c r="AJ8"/>
  <c r="AJ20" s="1"/>
  <c r="AG8"/>
  <c r="AF8"/>
  <c r="AI8" s="1"/>
  <c r="AC8"/>
  <c r="AB8"/>
  <c r="AE8" s="1"/>
  <c r="AA8"/>
  <c r="X8"/>
  <c r="W8"/>
  <c r="T8"/>
  <c r="S8"/>
  <c r="P8"/>
  <c r="M8"/>
  <c r="L8"/>
  <c r="O8" s="1"/>
  <c r="H8"/>
  <c r="H20" s="1"/>
  <c r="E8"/>
  <c r="D8"/>
  <c r="G8" s="1"/>
  <c r="AU7"/>
  <c r="AU20" s="1"/>
  <c r="AS7"/>
  <c r="AS20" s="1"/>
  <c r="AO7"/>
  <c r="AO20" s="1"/>
  <c r="AN7"/>
  <c r="AQ7" s="1"/>
  <c r="AQ20" s="1"/>
  <c r="AK7"/>
  <c r="AK20" s="1"/>
  <c r="AG7"/>
  <c r="AG20" s="1"/>
  <c r="AC7"/>
  <c r="AC20" s="1"/>
  <c r="AB7"/>
  <c r="AB20" s="1"/>
  <c r="AA7"/>
  <c r="AA20" s="1"/>
  <c r="X7"/>
  <c r="X20" s="1"/>
  <c r="W7"/>
  <c r="W20" s="1"/>
  <c r="T7"/>
  <c r="T20" s="1"/>
  <c r="S7"/>
  <c r="S20" s="1"/>
  <c r="P7"/>
  <c r="P20" s="1"/>
  <c r="M7"/>
  <c r="M20" s="1"/>
  <c r="L7"/>
  <c r="O7" s="1"/>
  <c r="O20" s="1"/>
  <c r="K7"/>
  <c r="E7"/>
  <c r="E20" s="1"/>
  <c r="D7"/>
  <c r="G7" s="1"/>
  <c r="G20" s="1"/>
  <c r="AS6"/>
  <c r="AS55" s="1"/>
  <c r="AR6"/>
  <c r="AO6"/>
  <c r="AO55" s="1"/>
  <c r="AN6"/>
  <c r="AK6"/>
  <c r="AK55" s="1"/>
  <c r="AJ6"/>
  <c r="AJ55" s="1"/>
  <c r="AG6"/>
  <c r="AF6"/>
  <c r="AC6"/>
  <c r="AC55" s="1"/>
  <c r="AB6"/>
  <c r="AB55" s="1"/>
  <c r="Y6"/>
  <c r="Y55" s="1"/>
  <c r="X6"/>
  <c r="X55" s="1"/>
  <c r="U6"/>
  <c r="T6"/>
  <c r="T55" s="1"/>
  <c r="Q6"/>
  <c r="P6"/>
  <c r="P55" s="1"/>
  <c r="M6"/>
  <c r="L6"/>
  <c r="I6"/>
  <c r="H6"/>
  <c r="H55" s="1"/>
  <c r="E6"/>
  <c r="D6"/>
  <c r="X54" i="2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X20"/>
  <c r="X55" s="1"/>
  <c r="W20"/>
  <c r="W55" s="1"/>
  <c r="V20"/>
  <c r="V55" s="1"/>
  <c r="U20"/>
  <c r="U55" s="1"/>
  <c r="T20"/>
  <c r="T55" s="1"/>
  <c r="S20"/>
  <c r="S55" s="1"/>
  <c r="R20"/>
  <c r="R55" s="1"/>
  <c r="Q20"/>
  <c r="Q55" s="1"/>
  <c r="P20"/>
  <c r="P55" s="1"/>
  <c r="O20"/>
  <c r="O55" s="1"/>
  <c r="N20"/>
  <c r="N55" s="1"/>
  <c r="M20"/>
  <c r="M55" s="1"/>
  <c r="L20"/>
  <c r="L55" s="1"/>
  <c r="K20"/>
  <c r="K55" s="1"/>
  <c r="J20"/>
  <c r="J55" s="1"/>
  <c r="I20"/>
  <c r="I55" s="1"/>
  <c r="H20"/>
  <c r="H55" s="1"/>
  <c r="G20"/>
  <c r="G55" s="1"/>
  <c r="F20"/>
  <c r="F55" s="1"/>
  <c r="E20"/>
  <c r="E55" s="1"/>
  <c r="D20"/>
  <c r="D55" s="1"/>
  <c r="C20"/>
  <c r="C55" s="1"/>
  <c r="N16" i="1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U13" i="4" l="1"/>
  <c r="U5"/>
  <c r="U6"/>
  <c r="U7"/>
  <c r="U12"/>
  <c r="G6" i="3"/>
  <c r="O6"/>
  <c r="W6"/>
  <c r="AE6"/>
  <c r="AM6"/>
  <c r="AU6"/>
  <c r="AE7"/>
  <c r="AE20" s="1"/>
  <c r="AI7"/>
  <c r="AI20" s="1"/>
  <c r="AM7"/>
  <c r="K8"/>
  <c r="K20" s="1"/>
  <c r="AM8"/>
  <c r="K11"/>
  <c r="D20"/>
  <c r="D55" s="1"/>
  <c r="L20"/>
  <c r="L55" s="1"/>
  <c r="AF20"/>
  <c r="AF55" s="1"/>
  <c r="AN20"/>
  <c r="AN55" s="1"/>
  <c r="AR20"/>
  <c r="AR55" s="1"/>
  <c r="AE22"/>
  <c r="AE27" s="1"/>
  <c r="AI22"/>
  <c r="AI27" s="1"/>
  <c r="AM22"/>
  <c r="AM27" s="1"/>
  <c r="K28"/>
  <c r="K47" s="1"/>
  <c r="S28"/>
  <c r="S47" s="1"/>
  <c r="W28"/>
  <c r="W47" s="1"/>
  <c r="AA28"/>
  <c r="AA47" s="1"/>
  <c r="AE28"/>
  <c r="AE47" s="1"/>
  <c r="L47"/>
  <c r="AM48"/>
  <c r="AM54" s="1"/>
  <c r="G50"/>
  <c r="G54" s="1"/>
  <c r="O50"/>
  <c r="O54" s="1"/>
  <c r="W50"/>
  <c r="W54" s="1"/>
  <c r="AQ50"/>
  <c r="AQ54" s="1"/>
  <c r="E54"/>
  <c r="E55" s="1"/>
  <c r="I54"/>
  <c r="I55" s="1"/>
  <c r="M54"/>
  <c r="M55" s="1"/>
  <c r="Q54"/>
  <c r="Q55" s="1"/>
  <c r="U54"/>
  <c r="U55" s="1"/>
  <c r="AG54"/>
  <c r="AG55" s="1"/>
  <c r="K6"/>
  <c r="S6"/>
  <c r="AA6"/>
  <c r="AI6"/>
  <c r="AQ6"/>
  <c r="G28"/>
  <c r="G47" s="1"/>
  <c r="AU28"/>
  <c r="AU47" s="1"/>
  <c r="AE48"/>
  <c r="AE54" s="1"/>
  <c r="K50"/>
  <c r="K54" s="1"/>
  <c r="S50"/>
  <c r="S54" s="1"/>
  <c r="AA50"/>
  <c r="AA54" s="1"/>
  <c r="AI50"/>
  <c r="AI54" s="1"/>
  <c r="AQ55" l="1"/>
  <c r="AA55"/>
  <c r="K55"/>
  <c r="AU55"/>
  <c r="AE55"/>
  <c r="O55"/>
  <c r="AI55"/>
  <c r="S55"/>
  <c r="AM20"/>
  <c r="AM55" s="1"/>
  <c r="W55"/>
  <c r="G55"/>
</calcChain>
</file>

<file path=xl/sharedStrings.xml><?xml version="1.0" encoding="utf-8"?>
<sst xmlns="http://schemas.openxmlformats.org/spreadsheetml/2006/main" count="400" uniqueCount="174">
  <si>
    <t>Area</t>
  </si>
  <si>
    <t>Area in Hect.</t>
  </si>
  <si>
    <t>Production in MT</t>
  </si>
  <si>
    <t>Sr No.</t>
  </si>
  <si>
    <t>Year</t>
  </si>
  <si>
    <t>Apple</t>
  </si>
  <si>
    <t>OTF</t>
  </si>
  <si>
    <t>Nuts &amp; Dry</t>
  </si>
  <si>
    <t>Citrus</t>
  </si>
  <si>
    <t>OSTF</t>
  </si>
  <si>
    <t>Total</t>
  </si>
  <si>
    <t>Production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</si>
  <si>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</si>
  <si>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</si>
  <si>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</si>
  <si>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</si>
  <si>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</si>
  <si>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</si>
  <si>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</si>
  <si>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</si>
  <si>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</si>
  <si>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</si>
  <si>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</si>
  <si>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Sr.No.</t>
  </si>
  <si>
    <t xml:space="preserve">Name of 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</si>
  <si>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</si>
  <si>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</si>
  <si>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</si>
  <si>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</si>
  <si>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</si>
  <si>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</si>
  <si>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</si>
  <si>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</si>
  <si>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</si>
  <si>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</si>
  <si>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</si>
  <si>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fruit</t>
  </si>
  <si>
    <t>Plum</t>
  </si>
  <si>
    <t>Peach</t>
  </si>
  <si>
    <t>Apricot</t>
  </si>
  <si>
    <t>Pear</t>
  </si>
  <si>
    <t>Cherry</t>
  </si>
  <si>
    <t>Kiwi</t>
  </si>
  <si>
    <t>Pomegranate</t>
  </si>
  <si>
    <t>Olive</t>
  </si>
  <si>
    <t>Persimmon</t>
  </si>
  <si>
    <t>Strawberry</t>
  </si>
  <si>
    <t>G. Almond</t>
  </si>
  <si>
    <t>Grapes</t>
  </si>
  <si>
    <t>Almond</t>
  </si>
  <si>
    <t>Walnut</t>
  </si>
  <si>
    <t>Pecannut</t>
  </si>
  <si>
    <t>Hazulnut</t>
  </si>
  <si>
    <t>Chest nut</t>
  </si>
  <si>
    <t>N&amp;D</t>
  </si>
  <si>
    <t>Mango</t>
  </si>
  <si>
    <t>Litchi</t>
  </si>
  <si>
    <t>Guava</t>
  </si>
  <si>
    <t>Papaya</t>
  </si>
  <si>
    <t>Jackfruit</t>
  </si>
  <si>
    <t>Aonla</t>
  </si>
  <si>
    <t>Loquat</t>
  </si>
  <si>
    <t>Ber</t>
  </si>
  <si>
    <t>Banana</t>
  </si>
  <si>
    <t>Karonda</t>
  </si>
  <si>
    <t>Fig</t>
  </si>
  <si>
    <t>Spota</t>
  </si>
  <si>
    <t>Deon</t>
  </si>
  <si>
    <t>Bael</t>
  </si>
  <si>
    <t>Harad</t>
  </si>
  <si>
    <t>Jamun</t>
  </si>
  <si>
    <t>Baherha</t>
  </si>
  <si>
    <t>Orange/Kinnow</t>
  </si>
  <si>
    <t>Malta/Musambi</t>
  </si>
  <si>
    <t>Kagzi Lime</t>
  </si>
  <si>
    <t>Galgal</t>
  </si>
  <si>
    <t>Grape fruit</t>
  </si>
  <si>
    <t>CITRUS</t>
  </si>
  <si>
    <t>PLANT DISTRIBUTION</t>
  </si>
  <si>
    <t>(In Nos.)</t>
  </si>
  <si>
    <t>Sr. No.</t>
  </si>
  <si>
    <t xml:space="preserve">From </t>
  </si>
  <si>
    <t>Outside</t>
  </si>
  <si>
    <t>Govt Nurs.</t>
  </si>
  <si>
    <t>Pvt Nurs.</t>
  </si>
  <si>
    <t>the state</t>
  </si>
  <si>
    <t>TOTAL</t>
  </si>
  <si>
    <t>(In Hect.)</t>
  </si>
  <si>
    <t>Gladiolus</t>
  </si>
  <si>
    <t>Carnation</t>
  </si>
  <si>
    <t>Marigold</t>
  </si>
  <si>
    <t>Lilies</t>
  </si>
  <si>
    <t>Dafodil</t>
  </si>
  <si>
    <t>Rose</t>
  </si>
  <si>
    <t>Alstroemeria</t>
  </si>
  <si>
    <t>Gerbera</t>
  </si>
  <si>
    <t>Tulip</t>
  </si>
  <si>
    <t>Chrysan-</t>
  </si>
  <si>
    <t xml:space="preserve">Bird of </t>
  </si>
  <si>
    <t>Cala Lily</t>
  </si>
  <si>
    <t>Aster</t>
  </si>
  <si>
    <t>Godetia</t>
  </si>
  <si>
    <t>Seasonal</t>
  </si>
  <si>
    <t>Other</t>
  </si>
  <si>
    <t>Flower</t>
  </si>
  <si>
    <t>Potted</t>
  </si>
  <si>
    <t>themum</t>
  </si>
  <si>
    <t>Paradise</t>
  </si>
  <si>
    <t>seeds.</t>
  </si>
  <si>
    <t>plants</t>
  </si>
  <si>
    <t>DEVELOPMENT OF BEE-KEEPING</t>
  </si>
  <si>
    <t>Production of Honey (In Kgs.)</t>
  </si>
  <si>
    <t>Maintenance of Bee- Colonies</t>
  </si>
  <si>
    <t xml:space="preserve">Farmers Trained </t>
  </si>
  <si>
    <t>Colonies</t>
  </si>
  <si>
    <t xml:space="preserve">Distribution of </t>
  </si>
  <si>
    <t xml:space="preserve">Bee Colonies </t>
  </si>
  <si>
    <t>Supplied</t>
  </si>
  <si>
    <t xml:space="preserve">bee-hives to pvt. </t>
  </si>
  <si>
    <t>supplied to private</t>
  </si>
  <si>
    <t xml:space="preserve">In Govt. </t>
  </si>
  <si>
    <t>In Private</t>
  </si>
  <si>
    <t>Camps</t>
  </si>
  <si>
    <t>Farmers</t>
  </si>
  <si>
    <t>for polli-</t>
  </si>
  <si>
    <t>Bee keepers</t>
  </si>
  <si>
    <t xml:space="preserve"> Bee Keepers</t>
  </si>
  <si>
    <t>Units</t>
  </si>
  <si>
    <t xml:space="preserve"> </t>
  </si>
  <si>
    <t>nation.</t>
  </si>
  <si>
    <t>Numbers of</t>
  </si>
  <si>
    <t>Bee-hives</t>
  </si>
  <si>
    <t>Benefitted</t>
  </si>
  <si>
    <t>Bee-colonies</t>
  </si>
  <si>
    <t>Sr.</t>
  </si>
  <si>
    <t>YEAR</t>
  </si>
  <si>
    <t xml:space="preserve">In One </t>
  </si>
  <si>
    <t xml:space="preserve">In Two </t>
  </si>
  <si>
    <t>IN General</t>
  </si>
  <si>
    <t>Post</t>
  </si>
  <si>
    <t>In</t>
  </si>
  <si>
    <t>In Bee-</t>
  </si>
  <si>
    <t xml:space="preserve">In </t>
  </si>
  <si>
    <t>In Fruit</t>
  </si>
  <si>
    <t>By</t>
  </si>
  <si>
    <t xml:space="preserve">By </t>
  </si>
  <si>
    <t xml:space="preserve">WOMEN </t>
  </si>
  <si>
    <t xml:space="preserve">Skill Develop.under </t>
  </si>
  <si>
    <t>No.</t>
  </si>
  <si>
    <t>Day</t>
  </si>
  <si>
    <t>Days</t>
  </si>
  <si>
    <t>Horticu-</t>
  </si>
  <si>
    <t>Harvest</t>
  </si>
  <si>
    <t>Floricu-</t>
  </si>
  <si>
    <t>Keeping</t>
  </si>
  <si>
    <t>Mushroom</t>
  </si>
  <si>
    <t>Preserv-</t>
  </si>
  <si>
    <t>Semi-</t>
  </si>
  <si>
    <t>Study</t>
  </si>
  <si>
    <t xml:space="preserve">Trainees </t>
  </si>
  <si>
    <t>HP Forest Sector</t>
  </si>
  <si>
    <t>Male</t>
  </si>
  <si>
    <t>Female</t>
  </si>
  <si>
    <t>lture</t>
  </si>
  <si>
    <t>ation</t>
  </si>
  <si>
    <t>nars</t>
  </si>
  <si>
    <t>Tour</t>
  </si>
  <si>
    <t>in HTM</t>
  </si>
  <si>
    <t>One Day</t>
  </si>
  <si>
    <t>Two Days</t>
  </si>
  <si>
    <t xml:space="preserve"> FARMERS TRAINED IN VARIOUS   TRAINING CAMPS </t>
  </si>
  <si>
    <t>AREA UNDER FLORICULTURE</t>
  </si>
  <si>
    <t xml:space="preserve">Area &amp; Production of different fruits </t>
  </si>
  <si>
    <t>Area &amp; Production of different fruits.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</si>
</sst>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.75"/>
      <color theme="1"/>
      <name val="Times New Roman"/>
      <family val="1"/>
    </font>
    <font>
      <sz val="11.75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8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1" fillId="0" borderId="9" xfId="0" applyFont="1" applyBorder="1" applyAlignment="1"/>
    <xf numFmtId="0" fontId="1" fillId="0" borderId="11" xfId="0" applyFont="1" applyFill="1" applyBorder="1" applyAlignment="1"/>
    <xf numFmtId="0" fontId="2" fillId="0" borderId="12" xfId="0" applyFont="1" applyBorder="1" applyAlignment="1"/>
    <xf numFmtId="0" fontId="2" fillId="0" borderId="13" xfId="0" applyFont="1" applyBorder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/>
    <xf numFmtId="0" fontId="2" fillId="0" borderId="17" xfId="0" applyFont="1" applyBorder="1" applyAlignment="1"/>
    <xf numFmtId="0" fontId="2" fillId="0" borderId="13" xfId="0" applyFont="1" applyBorder="1" applyAlignment="1"/>
    <xf numFmtId="0" fontId="1" fillId="0" borderId="14" xfId="0" applyFont="1" applyBorder="1" applyAlignment="1"/>
    <xf numFmtId="0" fontId="1" fillId="0" borderId="13" xfId="0" applyFont="1" applyFill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1" fillId="0" borderId="5" xfId="0" applyFont="1" applyBorder="1" applyAlignment="1"/>
    <xf numFmtId="0" fontId="1" fillId="0" borderId="12" xfId="0" applyFont="1" applyFill="1" applyBorder="1" applyAlignment="1"/>
    <xf numFmtId="0" fontId="2" fillId="0" borderId="14" xfId="0" applyFont="1" applyBorder="1"/>
    <xf numFmtId="0" fontId="2" fillId="0" borderId="17" xfId="0" applyFont="1" applyBorder="1"/>
    <xf numFmtId="0" fontId="1" fillId="0" borderId="14" xfId="0" applyFont="1" applyBorder="1"/>
    <xf numFmtId="0" fontId="1" fillId="0" borderId="13" xfId="0" applyFont="1" applyFill="1" applyBorder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4" xfId="0" applyFont="1" applyBorder="1"/>
    <xf numFmtId="0" fontId="5" fillId="0" borderId="13" xfId="0" applyFont="1" applyBorder="1"/>
    <xf numFmtId="0" fontId="5" fillId="0" borderId="17" xfId="0" applyFont="1" applyBorder="1"/>
    <xf numFmtId="0" fontId="5" fillId="0" borderId="20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" fillId="0" borderId="23" xfId="0" applyFont="1" applyBorder="1"/>
    <xf numFmtId="0" fontId="6" fillId="0" borderId="24" xfId="0" applyFont="1" applyBorder="1" applyAlignment="1">
      <alignment horizontal="right"/>
    </xf>
    <xf numFmtId="1" fontId="6" fillId="0" borderId="25" xfId="0" applyNumberFormat="1" applyFont="1" applyBorder="1"/>
    <xf numFmtId="0" fontId="6" fillId="0" borderId="26" xfId="0" applyFont="1" applyBorder="1" applyAlignment="1">
      <alignment horizontal="right"/>
    </xf>
    <xf numFmtId="0" fontId="1" fillId="0" borderId="24" xfId="0" applyFont="1" applyBorder="1"/>
    <xf numFmtId="0" fontId="1" fillId="0" borderId="27" xfId="0" applyFont="1" applyBorder="1"/>
    <xf numFmtId="0" fontId="1" fillId="0" borderId="26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2" fillId="0" borderId="23" xfId="0" applyFont="1" applyBorder="1"/>
    <xf numFmtId="0" fontId="7" fillId="0" borderId="24" xfId="0" applyFont="1" applyBorder="1" applyAlignment="1">
      <alignment horizontal="right"/>
    </xf>
    <xf numFmtId="1" fontId="7" fillId="0" borderId="25" xfId="0" applyNumberFormat="1" applyFont="1" applyBorder="1"/>
    <xf numFmtId="0" fontId="7" fillId="0" borderId="26" xfId="0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5" fillId="0" borderId="28" xfId="0" applyFont="1" applyBorder="1"/>
    <xf numFmtId="0" fontId="5" fillId="0" borderId="33" xfId="0" applyFont="1" applyBorder="1"/>
    <xf numFmtId="0" fontId="5" fillId="0" borderId="27" xfId="0" applyFont="1" applyBorder="1"/>
    <xf numFmtId="0" fontId="5" fillId="0" borderId="33" xfId="0" applyFont="1" applyFill="1" applyBorder="1"/>
    <xf numFmtId="0" fontId="5" fillId="0" borderId="28" xfId="0" applyFont="1" applyFill="1" applyBorder="1"/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5" fillId="0" borderId="23" xfId="0" applyFont="1" applyBorder="1"/>
    <xf numFmtId="0" fontId="5" fillId="0" borderId="32" xfId="0" applyFont="1" applyBorder="1"/>
    <xf numFmtId="0" fontId="5" fillId="0" borderId="25" xfId="0" applyFont="1" applyBorder="1"/>
    <xf numFmtId="0" fontId="4" fillId="0" borderId="31" xfId="0" applyFont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5" fillId="0" borderId="37" xfId="0" applyFont="1" applyBorder="1"/>
    <xf numFmtId="0" fontId="2" fillId="0" borderId="32" xfId="0" applyFont="1" applyBorder="1"/>
    <xf numFmtId="0" fontId="2" fillId="0" borderId="37" xfId="0" applyFont="1" applyBorder="1"/>
    <xf numFmtId="0" fontId="4" fillId="0" borderId="9" xfId="0" applyFont="1" applyBorder="1" applyAlignment="1">
      <alignment horizontal="center"/>
    </xf>
    <xf numFmtId="0" fontId="4" fillId="0" borderId="18" xfId="0" applyFont="1" applyBorder="1"/>
    <xf numFmtId="0" fontId="5" fillId="0" borderId="38" xfId="0" applyFont="1" applyBorder="1"/>
    <xf numFmtId="0" fontId="5" fillId="0" borderId="19" xfId="0" applyFont="1" applyBorder="1"/>
    <xf numFmtId="0" fontId="5" fillId="0" borderId="39" xfId="0" applyFont="1" applyBorder="1"/>
    <xf numFmtId="0" fontId="5" fillId="0" borderId="10" xfId="0" applyFont="1" applyBorder="1"/>
    <xf numFmtId="0" fontId="5" fillId="0" borderId="40" xfId="0" applyFont="1" applyBorder="1"/>
    <xf numFmtId="0" fontId="4" fillId="0" borderId="17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5" fillId="0" borderId="30" xfId="0" applyFont="1" applyBorder="1"/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5" fillId="0" borderId="43" xfId="0" applyFont="1" applyBorder="1"/>
    <xf numFmtId="0" fontId="2" fillId="0" borderId="44" xfId="0" applyFont="1" applyBorder="1"/>
    <xf numFmtId="0" fontId="2" fillId="0" borderId="43" xfId="0" applyFont="1" applyBorder="1"/>
    <xf numFmtId="0" fontId="5" fillId="0" borderId="45" xfId="0" applyFont="1" applyBorder="1"/>
    <xf numFmtId="0" fontId="5" fillId="0" borderId="44" xfId="0" applyFont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50" xfId="0" applyFont="1" applyBorder="1"/>
    <xf numFmtId="0" fontId="7" fillId="0" borderId="25" xfId="0" applyFont="1" applyBorder="1"/>
    <xf numFmtId="0" fontId="5" fillId="0" borderId="29" xfId="0" applyFont="1" applyBorder="1"/>
    <xf numFmtId="0" fontId="2" fillId="0" borderId="28" xfId="0" applyFont="1" applyBorder="1"/>
    <xf numFmtId="0" fontId="2" fillId="0" borderId="33" xfId="0" applyFont="1" applyBorder="1"/>
    <xf numFmtId="0" fontId="2" fillId="0" borderId="27" xfId="0" applyFont="1" applyBorder="1"/>
    <xf numFmtId="0" fontId="2" fillId="0" borderId="51" xfId="0" applyFont="1" applyBorder="1"/>
    <xf numFmtId="0" fontId="2" fillId="0" borderId="28" xfId="0" applyFont="1" applyFill="1" applyBorder="1"/>
    <xf numFmtId="0" fontId="2" fillId="0" borderId="33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3" xfId="0" applyFont="1" applyFill="1" applyBorder="1"/>
    <xf numFmtId="0" fontId="2" fillId="0" borderId="24" xfId="0" applyFont="1" applyFill="1" applyBorder="1"/>
    <xf numFmtId="0" fontId="2" fillId="0" borderId="51" xfId="0" applyFont="1" applyFill="1" applyBorder="1"/>
    <xf numFmtId="0" fontId="5" fillId="0" borderId="27" xfId="0" applyFont="1" applyFill="1" applyBorder="1"/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5" fillId="0" borderId="18" xfId="0" applyFont="1" applyBorder="1"/>
    <xf numFmtId="0" fontId="5" fillId="0" borderId="0" xfId="0" applyFont="1" applyBorder="1"/>
    <xf numFmtId="0" fontId="2" fillId="0" borderId="38" xfId="0" applyFont="1" applyBorder="1"/>
    <xf numFmtId="0" fontId="2" fillId="0" borderId="45" xfId="0" applyFont="1" applyBorder="1"/>
    <xf numFmtId="0" fontId="4" fillId="0" borderId="15" xfId="0" applyFont="1" applyBorder="1"/>
    <xf numFmtId="0" fontId="4" fillId="0" borderId="52" xfId="0" applyFont="1" applyBorder="1"/>
    <xf numFmtId="0" fontId="5" fillId="0" borderId="16" xfId="0" applyFont="1" applyBorder="1"/>
    <xf numFmtId="0" fontId="5" fillId="0" borderId="32" xfId="0" applyFont="1" applyFill="1" applyBorder="1"/>
    <xf numFmtId="0" fontId="2" fillId="0" borderId="39" xfId="0" applyFont="1" applyBorder="1"/>
    <xf numFmtId="0" fontId="5" fillId="0" borderId="45" xfId="0" applyFont="1" applyFill="1" applyBorder="1"/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4" fillId="0" borderId="5" xfId="0" applyFont="1" applyBorder="1" applyAlignment="1">
      <alignment vertical="center"/>
    </xf>
    <xf numFmtId="0" fontId="2" fillId="0" borderId="53" xfId="0" applyFont="1" applyBorder="1"/>
    <xf numFmtId="0" fontId="2" fillId="0" borderId="9" xfId="0" applyFont="1" applyBorder="1"/>
    <xf numFmtId="0" fontId="2" fillId="0" borderId="19" xfId="0" applyFont="1" applyBorder="1"/>
    <xf numFmtId="0" fontId="2" fillId="0" borderId="54" xfId="0" applyFont="1" applyBorder="1"/>
    <xf numFmtId="0" fontId="2" fillId="0" borderId="11" xfId="0" applyFont="1" applyBorder="1"/>
    <xf numFmtId="0" fontId="1" fillId="0" borderId="18" xfId="0" applyFont="1" applyBorder="1"/>
    <xf numFmtId="0" fontId="4" fillId="0" borderId="14" xfId="0" applyFont="1" applyBorder="1" applyAlignment="1">
      <alignment horizontal="center" vertical="center"/>
    </xf>
    <xf numFmtId="0" fontId="1" fillId="0" borderId="55" xfId="0" applyFont="1" applyBorder="1"/>
    <xf numFmtId="0" fontId="1" fillId="0" borderId="16" xfId="0" applyFont="1" applyBorder="1"/>
    <xf numFmtId="0" fontId="4" fillId="0" borderId="56" xfId="0" applyFont="1" applyBorder="1" applyAlignment="1">
      <alignment vertical="center"/>
    </xf>
    <xf numFmtId="0" fontId="2" fillId="0" borderId="22" xfId="0" applyFont="1" applyBorder="1"/>
    <xf numFmtId="0" fontId="2" fillId="0" borderId="29" xfId="0" applyFont="1" applyBorder="1"/>
    <xf numFmtId="0" fontId="2" fillId="0" borderId="30" xfId="0" applyFont="1" applyBorder="1"/>
    <xf numFmtId="0" fontId="1" fillId="0" borderId="22" xfId="0" applyFont="1" applyBorder="1"/>
    <xf numFmtId="0" fontId="4" fillId="0" borderId="41" xfId="0" applyFont="1" applyBorder="1" applyAlignment="1">
      <alignment vertical="center"/>
    </xf>
    <xf numFmtId="0" fontId="1" fillId="0" borderId="33" xfId="0" applyFont="1" applyBorder="1"/>
    <xf numFmtId="0" fontId="4" fillId="0" borderId="5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41" xfId="0" applyFont="1" applyBorder="1"/>
    <xf numFmtId="0" fontId="4" fillId="0" borderId="9" xfId="0" applyFont="1" applyBorder="1"/>
    <xf numFmtId="0" fontId="2" fillId="0" borderId="58" xfId="0" applyFont="1" applyBorder="1"/>
    <xf numFmtId="0" fontId="2" fillId="0" borderId="10" xfId="0" applyFont="1" applyBorder="1"/>
    <xf numFmtId="0" fontId="2" fillId="0" borderId="55" xfId="0" applyFont="1" applyBorder="1"/>
    <xf numFmtId="0" fontId="2" fillId="0" borderId="59" xfId="0" applyFont="1" applyBorder="1"/>
    <xf numFmtId="0" fontId="2" fillId="0" borderId="60" xfId="0" applyFont="1" applyBorder="1"/>
    <xf numFmtId="0" fontId="4" fillId="0" borderId="41" xfId="0" applyFont="1" applyFill="1" applyBorder="1" applyAlignment="1">
      <alignment vertical="center"/>
    </xf>
    <xf numFmtId="0" fontId="5" fillId="0" borderId="9" xfId="0" applyFont="1" applyBorder="1"/>
    <xf numFmtId="0" fontId="1" fillId="0" borderId="19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61" xfId="0" applyFont="1" applyBorder="1"/>
    <xf numFmtId="0" fontId="5" fillId="0" borderId="5" xfId="0" applyFont="1" applyBorder="1"/>
    <xf numFmtId="0" fontId="2" fillId="0" borderId="0" xfId="0" applyFont="1" applyBorder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62" xfId="0" applyFont="1" applyBorder="1"/>
    <xf numFmtId="0" fontId="2" fillId="0" borderId="63" xfId="0" applyFont="1" applyBorder="1"/>
    <xf numFmtId="0" fontId="9" fillId="0" borderId="62" xfId="0" applyFont="1" applyBorder="1"/>
    <xf numFmtId="0" fontId="9" fillId="0" borderId="63" xfId="0" applyFont="1" applyBorder="1"/>
    <xf numFmtId="0" fontId="9" fillId="0" borderId="60" xfId="0" applyFont="1" applyBorder="1"/>
    <xf numFmtId="0" fontId="9" fillId="0" borderId="27" xfId="0" applyFont="1" applyBorder="1"/>
    <xf numFmtId="0" fontId="2" fillId="0" borderId="8" xfId="0" applyFont="1" applyBorder="1"/>
    <xf numFmtId="0" fontId="8" fillId="0" borderId="8" xfId="0" applyFont="1" applyBorder="1"/>
    <xf numFmtId="2" fontId="8" fillId="0" borderId="8" xfId="0" applyNumberFormat="1" applyFont="1" applyBorder="1"/>
    <xf numFmtId="0" fontId="3" fillId="0" borderId="62" xfId="0" applyFont="1" applyBorder="1"/>
    <xf numFmtId="0" fontId="8" fillId="0" borderId="62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12" xfId="0" applyFont="1" applyBorder="1"/>
    <xf numFmtId="0" fontId="3" fillId="0" borderId="0" xfId="0" applyFont="1" applyBorder="1"/>
    <xf numFmtId="0" fontId="3" fillId="0" borderId="4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5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11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4" xfId="0" applyFont="1" applyBorder="1"/>
    <xf numFmtId="0" fontId="3" fillId="0" borderId="58" xfId="0" applyFont="1" applyBorder="1"/>
    <xf numFmtId="0" fontId="2" fillId="0" borderId="65" xfId="0" applyFont="1" applyBorder="1"/>
    <xf numFmtId="0" fontId="2" fillId="0" borderId="31" xfId="0" applyFont="1" applyBorder="1"/>
    <xf numFmtId="0" fontId="10" fillId="0" borderId="62" xfId="0" applyFont="1" applyBorder="1"/>
    <xf numFmtId="0" fontId="10" fillId="0" borderId="62" xfId="0" applyFont="1" applyFill="1" applyBorder="1"/>
    <xf numFmtId="0" fontId="10" fillId="0" borderId="63" xfId="0" applyFont="1" applyFill="1" applyBorder="1"/>
    <xf numFmtId="0" fontId="10" fillId="0" borderId="66" xfId="0" applyFont="1" applyFill="1" applyBorder="1"/>
    <xf numFmtId="0" fontId="14" fillId="0" borderId="62" xfId="0" applyFont="1" applyBorder="1"/>
    <xf numFmtId="0" fontId="13" fillId="0" borderId="67" xfId="0" applyFont="1" applyFill="1" applyBorder="1"/>
    <xf numFmtId="0" fontId="3" fillId="0" borderId="63" xfId="0" applyFont="1" applyBorder="1" applyAlignment="1"/>
    <xf numFmtId="0" fontId="12" fillId="0" borderId="67" xfId="0" applyFont="1" applyBorder="1"/>
    <xf numFmtId="0" fontId="3" fillId="0" borderId="63" xfId="0" applyFont="1" applyBorder="1"/>
    <xf numFmtId="0" fontId="10" fillId="0" borderId="68" xfId="0" applyFont="1" applyBorder="1"/>
    <xf numFmtId="0" fontId="10" fillId="0" borderId="68" xfId="0" applyFont="1" applyFill="1" applyBorder="1"/>
    <xf numFmtId="0" fontId="10" fillId="0" borderId="44" xfId="0" applyFont="1" applyFill="1" applyBorder="1"/>
    <xf numFmtId="0" fontId="10" fillId="0" borderId="0" xfId="0" applyFont="1" applyFill="1" applyBorder="1"/>
    <xf numFmtId="0" fontId="14" fillId="0" borderId="68" xfId="0" applyFont="1" applyBorder="1"/>
    <xf numFmtId="0" fontId="10" fillId="0" borderId="0" xfId="0" applyFont="1" applyBorder="1"/>
    <xf numFmtId="0" fontId="13" fillId="0" borderId="65" xfId="0" applyFont="1" applyFill="1" applyBorder="1"/>
    <xf numFmtId="0" fontId="3" fillId="0" borderId="27" xfId="0" applyFont="1" applyBorder="1"/>
    <xf numFmtId="0" fontId="12" fillId="0" borderId="69" xfId="0" applyFont="1" applyBorder="1"/>
    <xf numFmtId="0" fontId="3" fillId="0" borderId="44" xfId="0" applyFont="1" applyBorder="1"/>
    <xf numFmtId="0" fontId="10" fillId="0" borderId="44" xfId="0" applyFont="1" applyBorder="1"/>
    <xf numFmtId="0" fontId="11" fillId="0" borderId="68" xfId="0" applyFont="1" applyBorder="1"/>
    <xf numFmtId="0" fontId="3" fillId="0" borderId="65" xfId="0" applyFont="1" applyBorder="1"/>
    <xf numFmtId="0" fontId="13" fillId="0" borderId="27" xfId="0" applyFont="1" applyBorder="1"/>
    <xf numFmtId="0" fontId="2" fillId="0" borderId="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0" xfId="0" applyFont="1" applyFill="1" applyBorder="1" applyAlignment="1"/>
    <xf numFmtId="0" fontId="3" fillId="0" borderId="45" xfId="0" applyFont="1" applyFill="1" applyBorder="1" applyAlignment="1"/>
    <xf numFmtId="0" fontId="15" fillId="0" borderId="0" xfId="0" applyFont="1" applyAlignment="1">
      <alignment horizontal="center"/>
    </xf>
    <xf numFmtId="0" fontId="11" fillId="0" borderId="51" xfId="0" applyFont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51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1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N3"/>
    </sheetView>
  </sheetViews>
  <sheetFormatPr defaultRowHeight="15"/>
  <sheetData>
    <row r="1" spans="1:14" ht="18.75">
      <c r="A1" s="254" t="s">
        <v>173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8.75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14" ht="16.5" thickBot="1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6.5" thickBot="1">
      <c r="A4" s="1" t="s">
        <v>3</v>
      </c>
      <c r="B4" s="2" t="s">
        <v>4</v>
      </c>
      <c r="C4" s="237" t="s">
        <v>5</v>
      </c>
      <c r="D4" s="238"/>
      <c r="E4" s="237" t="s">
        <v>6</v>
      </c>
      <c r="F4" s="238"/>
      <c r="G4" s="237" t="s">
        <v>7</v>
      </c>
      <c r="H4" s="238"/>
      <c r="I4" s="237" t="s">
        <v>8</v>
      </c>
      <c r="J4" s="238"/>
      <c r="K4" s="237" t="s">
        <v>9</v>
      </c>
      <c r="L4" s="238"/>
      <c r="M4" s="235" t="s">
        <v>10</v>
      </c>
      <c r="N4" s="236"/>
    </row>
    <row r="5" spans="1:14" ht="15.75">
      <c r="A5" s="3"/>
      <c r="B5" s="4"/>
      <c r="C5" s="5" t="s">
        <v>0</v>
      </c>
      <c r="D5" s="6" t="s">
        <v>11</v>
      </c>
      <c r="E5" s="7" t="s">
        <v>0</v>
      </c>
      <c r="F5" s="6" t="s">
        <v>11</v>
      </c>
      <c r="G5" s="7" t="s">
        <v>0</v>
      </c>
      <c r="H5" s="6" t="s">
        <v>11</v>
      </c>
      <c r="I5" s="7" t="s">
        <v>0</v>
      </c>
      <c r="J5" s="6" t="s">
        <v>11</v>
      </c>
      <c r="K5" s="7" t="s">
        <v>0</v>
      </c>
      <c r="L5" s="6" t="s">
        <v>11</v>
      </c>
      <c r="M5" s="8" t="s">
        <v>0</v>
      </c>
      <c r="N5" s="9" t="s">
        <v>11</v>
      </c>
    </row>
    <row r="6" spans="1:14" ht="16.5" thickBot="1">
      <c r="A6" s="10">
        <v>1</v>
      </c>
      <c r="B6" s="10" t="s">
        <v>12</v>
      </c>
      <c r="C6" s="11">
        <v>3144</v>
      </c>
      <c r="D6" s="11">
        <v>673</v>
      </c>
      <c r="E6" s="12">
        <v>5462</v>
      </c>
      <c r="F6" s="13">
        <v>10513</v>
      </c>
      <c r="G6" s="12">
        <v>1301</v>
      </c>
      <c r="H6" s="13">
        <v>893</v>
      </c>
      <c r="I6" s="12">
        <v>1509</v>
      </c>
      <c r="J6" s="13">
        <v>1006</v>
      </c>
      <c r="K6" s="12">
        <v>2886</v>
      </c>
      <c r="L6" s="13">
        <v>3265</v>
      </c>
      <c r="M6" s="14">
        <f t="shared" ref="M6:N16" si="0">C6+E6+G6+I6+K6</f>
        <v>14302</v>
      </c>
      <c r="N6" s="15">
        <f t="shared" si="0"/>
        <v>16350</v>
      </c>
    </row>
    <row r="7" spans="1:14" ht="16.5" thickBot="1">
      <c r="A7" s="10">
        <v>2</v>
      </c>
      <c r="B7" s="10" t="s">
        <v>13</v>
      </c>
      <c r="C7" s="11">
        <v>2980</v>
      </c>
      <c r="D7" s="11">
        <v>457</v>
      </c>
      <c r="E7" s="12">
        <v>5461</v>
      </c>
      <c r="F7" s="13">
        <v>5114</v>
      </c>
      <c r="G7" s="12">
        <v>1262</v>
      </c>
      <c r="H7" s="13">
        <v>527</v>
      </c>
      <c r="I7" s="12">
        <v>1555</v>
      </c>
      <c r="J7" s="13">
        <v>943</v>
      </c>
      <c r="K7" s="12">
        <v>2945</v>
      </c>
      <c r="L7" s="13">
        <v>2237</v>
      </c>
      <c r="M7" s="14">
        <f t="shared" si="0"/>
        <v>14203</v>
      </c>
      <c r="N7" s="15">
        <f t="shared" si="0"/>
        <v>9278</v>
      </c>
    </row>
    <row r="8" spans="1:14" ht="16.5" thickBot="1">
      <c r="A8" s="10">
        <v>3</v>
      </c>
      <c r="B8" s="10" t="s">
        <v>14</v>
      </c>
      <c r="C8" s="11">
        <v>2948</v>
      </c>
      <c r="D8" s="11">
        <v>481</v>
      </c>
      <c r="E8" s="12">
        <v>5485</v>
      </c>
      <c r="F8" s="13">
        <v>12283</v>
      </c>
      <c r="G8" s="12">
        <v>1232</v>
      </c>
      <c r="H8" s="13">
        <v>615</v>
      </c>
      <c r="I8" s="12">
        <v>1643</v>
      </c>
      <c r="J8" s="13">
        <v>2017</v>
      </c>
      <c r="K8" s="12">
        <v>3134</v>
      </c>
      <c r="L8" s="13">
        <v>5047</v>
      </c>
      <c r="M8" s="14">
        <f t="shared" si="0"/>
        <v>14442</v>
      </c>
      <c r="N8" s="15">
        <f t="shared" si="0"/>
        <v>20443</v>
      </c>
    </row>
    <row r="9" spans="1:14" ht="16.5" thickBot="1">
      <c r="A9" s="10">
        <v>4</v>
      </c>
      <c r="B9" s="10" t="s">
        <v>15</v>
      </c>
      <c r="C9" s="11">
        <v>2912</v>
      </c>
      <c r="D9" s="11">
        <v>644</v>
      </c>
      <c r="E9" s="12">
        <v>5614</v>
      </c>
      <c r="F9" s="13">
        <v>6731</v>
      </c>
      <c r="G9" s="12">
        <v>1243</v>
      </c>
      <c r="H9" s="13">
        <v>1552</v>
      </c>
      <c r="I9" s="12">
        <v>1697</v>
      </c>
      <c r="J9" s="13">
        <v>2149</v>
      </c>
      <c r="K9" s="12">
        <v>3220</v>
      </c>
      <c r="L9" s="13">
        <v>3291</v>
      </c>
      <c r="M9" s="14">
        <f t="shared" si="0"/>
        <v>14686</v>
      </c>
      <c r="N9" s="15">
        <f t="shared" si="0"/>
        <v>14367</v>
      </c>
    </row>
    <row r="10" spans="1:14" ht="16.5" thickBot="1">
      <c r="A10" s="10">
        <v>5</v>
      </c>
      <c r="B10" s="10" t="s">
        <v>16</v>
      </c>
      <c r="C10" s="11">
        <v>2753</v>
      </c>
      <c r="D10" s="11">
        <v>2290</v>
      </c>
      <c r="E10" s="12">
        <v>5707</v>
      </c>
      <c r="F10" s="13">
        <v>5302</v>
      </c>
      <c r="G10" s="12">
        <v>1225</v>
      </c>
      <c r="H10" s="13">
        <v>714</v>
      </c>
      <c r="I10" s="12">
        <v>1704</v>
      </c>
      <c r="J10" s="13">
        <v>1863</v>
      </c>
      <c r="K10" s="12">
        <v>3281</v>
      </c>
      <c r="L10" s="13">
        <v>3859</v>
      </c>
      <c r="M10" s="14">
        <f t="shared" si="0"/>
        <v>14670</v>
      </c>
      <c r="N10" s="15">
        <f t="shared" si="0"/>
        <v>14028</v>
      </c>
    </row>
    <row r="11" spans="1:14" ht="16.5" thickBot="1">
      <c r="A11" s="10">
        <v>6</v>
      </c>
      <c r="B11" s="10" t="s">
        <v>17</v>
      </c>
      <c r="C11" s="11">
        <v>2592</v>
      </c>
      <c r="D11" s="11">
        <v>2821</v>
      </c>
      <c r="E11" s="12">
        <v>5721</v>
      </c>
      <c r="F11" s="13">
        <v>12032</v>
      </c>
      <c r="G11" s="12">
        <v>1216</v>
      </c>
      <c r="H11" s="13">
        <v>1007</v>
      </c>
      <c r="I11" s="12">
        <v>1800</v>
      </c>
      <c r="J11" s="13">
        <v>2382</v>
      </c>
      <c r="K11" s="12">
        <v>3379</v>
      </c>
      <c r="L11" s="13">
        <v>1548</v>
      </c>
      <c r="M11" s="14">
        <f t="shared" si="0"/>
        <v>14708</v>
      </c>
      <c r="N11" s="15">
        <f t="shared" si="0"/>
        <v>19790</v>
      </c>
    </row>
    <row r="12" spans="1:14" ht="16.5" thickBot="1">
      <c r="A12" s="10">
        <v>7</v>
      </c>
      <c r="B12" s="10" t="s">
        <v>18</v>
      </c>
      <c r="C12" s="11">
        <v>2566</v>
      </c>
      <c r="D12" s="11">
        <v>1688</v>
      </c>
      <c r="E12" s="12">
        <v>5794</v>
      </c>
      <c r="F12" s="16">
        <v>14387</v>
      </c>
      <c r="G12" s="12">
        <v>1227</v>
      </c>
      <c r="H12" s="13">
        <v>1275</v>
      </c>
      <c r="I12" s="12">
        <v>1841</v>
      </c>
      <c r="J12" s="13">
        <v>1393</v>
      </c>
      <c r="K12" s="12">
        <v>3394</v>
      </c>
      <c r="L12" s="13">
        <v>3421</v>
      </c>
      <c r="M12" s="14">
        <f t="shared" si="0"/>
        <v>14822</v>
      </c>
      <c r="N12" s="15">
        <f t="shared" si="0"/>
        <v>22164</v>
      </c>
    </row>
    <row r="13" spans="1:14" ht="16.5" thickBot="1">
      <c r="A13" s="10">
        <v>8</v>
      </c>
      <c r="B13" s="10" t="s">
        <v>19</v>
      </c>
      <c r="C13" s="11">
        <v>2579</v>
      </c>
      <c r="D13" s="11">
        <v>1896</v>
      </c>
      <c r="E13" s="12">
        <v>5959</v>
      </c>
      <c r="F13" s="17">
        <v>11792</v>
      </c>
      <c r="G13" s="12">
        <v>1243</v>
      </c>
      <c r="H13" s="13">
        <v>1359</v>
      </c>
      <c r="I13" s="12">
        <v>1869</v>
      </c>
      <c r="J13" s="13">
        <v>1741</v>
      </c>
      <c r="K13" s="12">
        <v>3448</v>
      </c>
      <c r="L13" s="13">
        <v>1568</v>
      </c>
      <c r="M13" s="14">
        <f t="shared" si="0"/>
        <v>15098</v>
      </c>
      <c r="N13" s="15">
        <f t="shared" si="0"/>
        <v>18356</v>
      </c>
    </row>
    <row r="14" spans="1:14" ht="16.5" thickBot="1">
      <c r="A14" s="10">
        <v>9</v>
      </c>
      <c r="B14" s="10" t="s">
        <v>20</v>
      </c>
      <c r="C14" s="18">
        <v>2500</v>
      </c>
      <c r="D14" s="18">
        <v>3670</v>
      </c>
      <c r="E14" s="19">
        <v>6035</v>
      </c>
      <c r="F14" s="20">
        <v>13221</v>
      </c>
      <c r="G14" s="21">
        <v>1248</v>
      </c>
      <c r="H14" s="22">
        <v>2117</v>
      </c>
      <c r="I14" s="21">
        <v>1912</v>
      </c>
      <c r="J14" s="22">
        <v>2572</v>
      </c>
      <c r="K14" s="21">
        <v>3590</v>
      </c>
      <c r="L14" s="22">
        <v>3853</v>
      </c>
      <c r="M14" s="23">
        <f t="shared" si="0"/>
        <v>15285</v>
      </c>
      <c r="N14" s="24">
        <f t="shared" si="0"/>
        <v>25433</v>
      </c>
    </row>
    <row r="15" spans="1:14" ht="16.5" thickBot="1">
      <c r="A15" s="10">
        <v>10</v>
      </c>
      <c r="B15" s="10" t="s">
        <v>21</v>
      </c>
      <c r="C15" s="25">
        <v>2574</v>
      </c>
      <c r="D15" s="25">
        <v>4291</v>
      </c>
      <c r="E15" s="26">
        <v>6079</v>
      </c>
      <c r="F15" s="16">
        <v>14708</v>
      </c>
      <c r="G15" s="26">
        <v>1248</v>
      </c>
      <c r="H15" s="16">
        <v>2128</v>
      </c>
      <c r="I15" s="26">
        <v>1982</v>
      </c>
      <c r="J15" s="16">
        <v>3526</v>
      </c>
      <c r="K15" s="26">
        <v>3716</v>
      </c>
      <c r="L15" s="16">
        <v>2267</v>
      </c>
      <c r="M15" s="27">
        <f t="shared" si="0"/>
        <v>15599</v>
      </c>
      <c r="N15" s="28">
        <f t="shared" si="0"/>
        <v>26920</v>
      </c>
    </row>
    <row r="16" spans="1:14" ht="16.5" thickBot="1">
      <c r="A16" s="10">
        <v>11</v>
      </c>
      <c r="B16" s="10" t="s">
        <v>22</v>
      </c>
      <c r="C16" s="29">
        <v>2580</v>
      </c>
      <c r="D16" s="29">
        <v>4017</v>
      </c>
      <c r="E16" s="30">
        <v>6027</v>
      </c>
      <c r="F16" s="17">
        <v>13840</v>
      </c>
      <c r="G16" s="30">
        <v>1226</v>
      </c>
      <c r="H16" s="17">
        <v>2018</v>
      </c>
      <c r="I16" s="30">
        <v>2207</v>
      </c>
      <c r="J16" s="17">
        <v>2643</v>
      </c>
      <c r="K16" s="30">
        <v>3729</v>
      </c>
      <c r="L16" s="17">
        <v>3774</v>
      </c>
      <c r="M16" s="31">
        <f t="shared" si="0"/>
        <v>15769</v>
      </c>
      <c r="N16" s="32">
        <f t="shared" si="0"/>
        <v>26292</v>
      </c>
    </row>
  </sheetData>
  <mergeCells count="9">
    <mergeCell ref="A1:N1"/>
    <mergeCell ref="A2:N2"/>
    <mergeCell ref="A3:N3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workbookViewId="0">
      <selection sqref="A1:X3"/>
    </sheetView>
  </sheetViews>
  <sheetFormatPr defaultRowHeight="15"/>
  <sheetData>
    <row r="1" spans="1:24" ht="18.75">
      <c r="A1" s="254" t="s">
        <v>172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 ht="15.75">
      <c r="A2" s="257" t="s">
        <v>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</row>
    <row r="3" spans="1:24" ht="16.5" thickBot="1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</row>
    <row r="4" spans="1:24" ht="16.5" thickBot="1">
      <c r="A4" s="34" t="s">
        <v>23</v>
      </c>
      <c r="B4" s="35" t="s">
        <v>24</v>
      </c>
      <c r="C4" s="239" t="s">
        <v>25</v>
      </c>
      <c r="D4" s="240"/>
      <c r="E4" s="241" t="s">
        <v>26</v>
      </c>
      <c r="F4" s="241"/>
      <c r="G4" s="239" t="s">
        <v>27</v>
      </c>
      <c r="H4" s="240"/>
      <c r="I4" s="241" t="s">
        <v>28</v>
      </c>
      <c r="J4" s="241"/>
      <c r="K4" s="239" t="s">
        <v>29</v>
      </c>
      <c r="L4" s="240"/>
      <c r="M4" s="239" t="s">
        <v>30</v>
      </c>
      <c r="N4" s="240"/>
      <c r="O4" s="239" t="s">
        <v>31</v>
      </c>
      <c r="P4" s="240"/>
      <c r="Q4" s="239" t="s">
        <v>32</v>
      </c>
      <c r="R4" s="240"/>
      <c r="S4" s="239" t="s">
        <v>33</v>
      </c>
      <c r="T4" s="240"/>
      <c r="U4" s="239" t="s">
        <v>34</v>
      </c>
      <c r="V4" s="240"/>
      <c r="W4" s="239" t="s">
        <v>35</v>
      </c>
      <c r="X4" s="240"/>
    </row>
    <row r="5" spans="1:24" ht="16.5" thickBot="1">
      <c r="A5" s="36"/>
      <c r="B5" s="37" t="s">
        <v>36</v>
      </c>
      <c r="C5" s="38" t="s">
        <v>0</v>
      </c>
      <c r="D5" s="39" t="s">
        <v>11</v>
      </c>
      <c r="E5" s="40" t="s">
        <v>0</v>
      </c>
      <c r="F5" s="41" t="s">
        <v>11</v>
      </c>
      <c r="G5" s="38" t="s">
        <v>0</v>
      </c>
      <c r="H5" s="39" t="s">
        <v>11</v>
      </c>
      <c r="I5" s="40" t="s">
        <v>0</v>
      </c>
      <c r="J5" s="41" t="s">
        <v>11</v>
      </c>
      <c r="K5" s="38" t="s">
        <v>0</v>
      </c>
      <c r="L5" s="39" t="s">
        <v>11</v>
      </c>
      <c r="M5" s="38" t="s">
        <v>0</v>
      </c>
      <c r="N5" s="39" t="s">
        <v>11</v>
      </c>
      <c r="O5" s="38" t="s">
        <v>0</v>
      </c>
      <c r="P5" s="39" t="s">
        <v>11</v>
      </c>
      <c r="Q5" s="40" t="s">
        <v>0</v>
      </c>
      <c r="R5" s="39" t="s">
        <v>11</v>
      </c>
      <c r="S5" s="38" t="s">
        <v>0</v>
      </c>
      <c r="T5" s="39" t="s">
        <v>11</v>
      </c>
      <c r="U5" s="38" t="s">
        <v>0</v>
      </c>
      <c r="V5" s="39" t="s">
        <v>11</v>
      </c>
      <c r="W5" s="38" t="s">
        <v>0</v>
      </c>
      <c r="X5" s="39" t="s">
        <v>11</v>
      </c>
    </row>
    <row r="6" spans="1:24" ht="15.75">
      <c r="A6" s="42">
        <v>1</v>
      </c>
      <c r="B6" s="43" t="s">
        <v>5</v>
      </c>
      <c r="C6" s="44">
        <v>3144</v>
      </c>
      <c r="D6" s="45">
        <v>673</v>
      </c>
      <c r="E6" s="46">
        <v>2980</v>
      </c>
      <c r="F6" s="47">
        <v>457</v>
      </c>
      <c r="G6" s="44">
        <v>2948</v>
      </c>
      <c r="H6" s="48">
        <v>481</v>
      </c>
      <c r="I6" s="49">
        <v>2912</v>
      </c>
      <c r="J6" s="50">
        <v>644</v>
      </c>
      <c r="K6" s="44">
        <v>2753</v>
      </c>
      <c r="L6" s="48">
        <v>2290</v>
      </c>
      <c r="M6" s="51">
        <v>2592</v>
      </c>
      <c r="N6" s="52">
        <v>2821</v>
      </c>
      <c r="O6" s="53">
        <v>2566</v>
      </c>
      <c r="P6" s="52">
        <v>1688</v>
      </c>
      <c r="Q6" s="54">
        <v>2579</v>
      </c>
      <c r="R6" s="52">
        <v>1896</v>
      </c>
      <c r="S6" s="53">
        <v>2500</v>
      </c>
      <c r="T6" s="52">
        <v>3670</v>
      </c>
      <c r="U6" s="53">
        <v>2574</v>
      </c>
      <c r="V6" s="52">
        <v>4291</v>
      </c>
      <c r="W6" s="53">
        <v>2580</v>
      </c>
      <c r="X6" s="52">
        <v>4017</v>
      </c>
    </row>
    <row r="7" spans="1:24" ht="15.75">
      <c r="A7" s="55">
        <v>2</v>
      </c>
      <c r="B7" s="56" t="s">
        <v>37</v>
      </c>
      <c r="C7" s="57">
        <v>1317</v>
      </c>
      <c r="D7" s="58">
        <v>1315</v>
      </c>
      <c r="E7" s="59">
        <v>1308</v>
      </c>
      <c r="F7" s="60">
        <v>703</v>
      </c>
      <c r="G7" s="57">
        <v>1309</v>
      </c>
      <c r="H7" s="61">
        <v>1198</v>
      </c>
      <c r="I7" s="62">
        <v>1358</v>
      </c>
      <c r="J7" s="63">
        <v>429</v>
      </c>
      <c r="K7" s="57">
        <v>1402</v>
      </c>
      <c r="L7" s="61">
        <v>911</v>
      </c>
      <c r="M7" s="64">
        <v>1407</v>
      </c>
      <c r="N7" s="65">
        <v>2921</v>
      </c>
      <c r="O7" s="64">
        <v>1437</v>
      </c>
      <c r="P7" s="65">
        <v>1672</v>
      </c>
      <c r="Q7" s="66">
        <v>1506</v>
      </c>
      <c r="R7" s="65">
        <v>2680</v>
      </c>
      <c r="S7" s="64">
        <v>1529</v>
      </c>
      <c r="T7" s="67">
        <v>3867</v>
      </c>
      <c r="U7" s="68">
        <v>1555</v>
      </c>
      <c r="V7" s="67">
        <v>3616</v>
      </c>
      <c r="W7" s="64">
        <v>1527</v>
      </c>
      <c r="X7" s="65">
        <v>3701</v>
      </c>
    </row>
    <row r="8" spans="1:24" ht="15.75">
      <c r="A8" s="55">
        <v>3</v>
      </c>
      <c r="B8" s="56" t="s">
        <v>38</v>
      </c>
      <c r="C8" s="57">
        <v>2990</v>
      </c>
      <c r="D8" s="58">
        <v>7594</v>
      </c>
      <c r="E8" s="59">
        <v>2976</v>
      </c>
      <c r="F8" s="60">
        <v>3339</v>
      </c>
      <c r="G8" s="57">
        <v>2971</v>
      </c>
      <c r="H8" s="61">
        <v>9554</v>
      </c>
      <c r="I8" s="62">
        <v>2988</v>
      </c>
      <c r="J8" s="63">
        <v>4446</v>
      </c>
      <c r="K8" s="57">
        <v>2986</v>
      </c>
      <c r="L8" s="61">
        <v>2292</v>
      </c>
      <c r="M8" s="64">
        <v>2980</v>
      </c>
      <c r="N8" s="65">
        <v>6074</v>
      </c>
      <c r="O8" s="64">
        <v>2999</v>
      </c>
      <c r="P8" s="65">
        <v>2508</v>
      </c>
      <c r="Q8" s="66">
        <v>3027</v>
      </c>
      <c r="R8" s="65">
        <v>5583</v>
      </c>
      <c r="S8" s="64">
        <v>3027</v>
      </c>
      <c r="T8" s="67">
        <v>6027</v>
      </c>
      <c r="U8" s="68">
        <v>3024</v>
      </c>
      <c r="V8" s="67">
        <v>6603</v>
      </c>
      <c r="W8" s="64">
        <v>3012</v>
      </c>
      <c r="X8" s="65">
        <v>7417</v>
      </c>
    </row>
    <row r="9" spans="1:24" ht="15.75">
      <c r="A9" s="55">
        <v>4</v>
      </c>
      <c r="B9" s="56" t="s">
        <v>39</v>
      </c>
      <c r="C9" s="57">
        <v>530</v>
      </c>
      <c r="D9" s="58">
        <v>548</v>
      </c>
      <c r="E9" s="59">
        <v>541</v>
      </c>
      <c r="F9" s="60">
        <v>388</v>
      </c>
      <c r="G9" s="57">
        <v>554</v>
      </c>
      <c r="H9" s="61">
        <v>543</v>
      </c>
      <c r="I9" s="62">
        <v>570</v>
      </c>
      <c r="J9" s="63">
        <v>268</v>
      </c>
      <c r="K9" s="57">
        <v>607</v>
      </c>
      <c r="L9" s="61">
        <v>802</v>
      </c>
      <c r="M9" s="64">
        <v>614</v>
      </c>
      <c r="N9" s="65">
        <v>1216</v>
      </c>
      <c r="O9" s="64">
        <v>633</v>
      </c>
      <c r="P9" s="65">
        <v>8066</v>
      </c>
      <c r="Q9" s="66">
        <v>677</v>
      </c>
      <c r="R9" s="65">
        <v>1702</v>
      </c>
      <c r="S9" s="64">
        <v>686</v>
      </c>
      <c r="T9" s="67">
        <v>1265</v>
      </c>
      <c r="U9" s="68">
        <v>701</v>
      </c>
      <c r="V9" s="67">
        <v>1653</v>
      </c>
      <c r="W9" s="64">
        <v>690</v>
      </c>
      <c r="X9" s="65">
        <v>1306</v>
      </c>
    </row>
    <row r="10" spans="1:24" ht="15.75">
      <c r="A10" s="55">
        <v>5</v>
      </c>
      <c r="B10" s="56" t="s">
        <v>40</v>
      </c>
      <c r="C10" s="57">
        <v>451</v>
      </c>
      <c r="D10" s="58">
        <v>549</v>
      </c>
      <c r="E10" s="59">
        <v>417</v>
      </c>
      <c r="F10" s="60">
        <v>387</v>
      </c>
      <c r="G10" s="57">
        <v>407</v>
      </c>
      <c r="H10" s="61">
        <v>602</v>
      </c>
      <c r="I10" s="62">
        <v>412</v>
      </c>
      <c r="J10" s="63">
        <v>819</v>
      </c>
      <c r="K10" s="57">
        <v>400</v>
      </c>
      <c r="L10" s="61">
        <v>402</v>
      </c>
      <c r="M10" s="64">
        <v>394</v>
      </c>
      <c r="N10" s="65">
        <v>959</v>
      </c>
      <c r="O10" s="64">
        <v>390</v>
      </c>
      <c r="P10" s="65">
        <v>1228</v>
      </c>
      <c r="Q10" s="66">
        <v>391</v>
      </c>
      <c r="R10" s="65">
        <v>788</v>
      </c>
      <c r="S10" s="64">
        <v>388</v>
      </c>
      <c r="T10" s="67">
        <v>1408</v>
      </c>
      <c r="U10" s="68">
        <v>383</v>
      </c>
      <c r="V10" s="67">
        <v>1596</v>
      </c>
      <c r="W10" s="64">
        <v>378</v>
      </c>
      <c r="X10" s="65">
        <v>698</v>
      </c>
    </row>
    <row r="11" spans="1:24" ht="15.75">
      <c r="A11" s="69">
        <v>6</v>
      </c>
      <c r="B11" s="70" t="s">
        <v>41</v>
      </c>
      <c r="C11" s="57"/>
      <c r="D11" s="58"/>
      <c r="E11" s="59">
        <v>0</v>
      </c>
      <c r="F11" s="60">
        <v>0</v>
      </c>
      <c r="G11" s="57">
        <v>0</v>
      </c>
      <c r="H11" s="61">
        <v>0</v>
      </c>
      <c r="I11" s="62">
        <v>0</v>
      </c>
      <c r="J11" s="63">
        <v>0</v>
      </c>
      <c r="K11" s="57">
        <v>0</v>
      </c>
      <c r="L11" s="61">
        <v>0</v>
      </c>
      <c r="M11" s="64">
        <v>0</v>
      </c>
      <c r="N11" s="65">
        <v>0</v>
      </c>
      <c r="O11" s="64">
        <v>0</v>
      </c>
      <c r="P11" s="65">
        <v>0</v>
      </c>
      <c r="Q11" s="66">
        <v>0</v>
      </c>
      <c r="R11" s="65">
        <v>0</v>
      </c>
      <c r="S11" s="64">
        <v>0</v>
      </c>
      <c r="T11" s="67">
        <v>0</v>
      </c>
      <c r="U11" s="68">
        <v>0</v>
      </c>
      <c r="V11" s="67">
        <v>0</v>
      </c>
      <c r="W11" s="64">
        <v>0</v>
      </c>
      <c r="X11" s="65">
        <v>0</v>
      </c>
    </row>
    <row r="12" spans="1:24" ht="15.75">
      <c r="A12" s="55">
        <v>7</v>
      </c>
      <c r="B12" s="56" t="s">
        <v>42</v>
      </c>
      <c r="C12" s="57">
        <v>3</v>
      </c>
      <c r="D12" s="58">
        <v>26</v>
      </c>
      <c r="E12" s="59">
        <v>2</v>
      </c>
      <c r="F12" s="60">
        <v>5</v>
      </c>
      <c r="G12" s="57">
        <v>2</v>
      </c>
      <c r="H12" s="61">
        <v>10</v>
      </c>
      <c r="I12" s="62">
        <v>2</v>
      </c>
      <c r="J12" s="63">
        <v>15</v>
      </c>
      <c r="K12" s="57">
        <v>6</v>
      </c>
      <c r="L12" s="61">
        <v>16</v>
      </c>
      <c r="M12" s="64">
        <v>7</v>
      </c>
      <c r="N12" s="65">
        <v>42</v>
      </c>
      <c r="O12" s="64">
        <v>7</v>
      </c>
      <c r="P12" s="65">
        <v>29</v>
      </c>
      <c r="Q12" s="66">
        <v>23</v>
      </c>
      <c r="R12" s="65">
        <v>20</v>
      </c>
      <c r="S12" s="64">
        <v>28</v>
      </c>
      <c r="T12" s="67">
        <v>46</v>
      </c>
      <c r="U12" s="68">
        <v>28</v>
      </c>
      <c r="V12" s="67">
        <v>464</v>
      </c>
      <c r="W12" s="64">
        <v>27</v>
      </c>
      <c r="X12" s="65">
        <v>55</v>
      </c>
    </row>
    <row r="13" spans="1:24" ht="15.75">
      <c r="A13" s="71">
        <v>8</v>
      </c>
      <c r="B13" s="72" t="s">
        <v>43</v>
      </c>
      <c r="C13" s="57">
        <v>124</v>
      </c>
      <c r="D13" s="58">
        <v>7</v>
      </c>
      <c r="E13" s="59">
        <v>176</v>
      </c>
      <c r="F13" s="60">
        <v>12</v>
      </c>
      <c r="G13" s="57">
        <v>202</v>
      </c>
      <c r="H13" s="61">
        <v>10</v>
      </c>
      <c r="I13" s="62">
        <v>244</v>
      </c>
      <c r="J13" s="63">
        <v>277</v>
      </c>
      <c r="K13" s="57">
        <v>266</v>
      </c>
      <c r="L13" s="61">
        <v>330</v>
      </c>
      <c r="M13" s="64">
        <v>279</v>
      </c>
      <c r="N13" s="65">
        <v>356</v>
      </c>
      <c r="O13" s="64">
        <v>288</v>
      </c>
      <c r="P13" s="65">
        <v>801</v>
      </c>
      <c r="Q13" s="66">
        <v>297</v>
      </c>
      <c r="R13" s="65">
        <v>945</v>
      </c>
      <c r="S13" s="64">
        <v>339</v>
      </c>
      <c r="T13" s="67">
        <v>553</v>
      </c>
      <c r="U13" s="68">
        <v>350</v>
      </c>
      <c r="V13" s="67">
        <v>700</v>
      </c>
      <c r="W13" s="64">
        <v>357</v>
      </c>
      <c r="X13" s="65">
        <v>618</v>
      </c>
    </row>
    <row r="14" spans="1:24" ht="15.75">
      <c r="A14" s="55">
        <v>9</v>
      </c>
      <c r="B14" s="56" t="s">
        <v>44</v>
      </c>
      <c r="C14" s="57">
        <v>1</v>
      </c>
      <c r="D14" s="58">
        <v>1</v>
      </c>
      <c r="E14" s="59">
        <v>1</v>
      </c>
      <c r="F14" s="60">
        <v>5</v>
      </c>
      <c r="G14" s="57">
        <v>1</v>
      </c>
      <c r="H14" s="61">
        <v>5</v>
      </c>
      <c r="I14" s="62">
        <v>1</v>
      </c>
      <c r="J14" s="63">
        <v>0</v>
      </c>
      <c r="K14" s="57">
        <v>1</v>
      </c>
      <c r="L14" s="61">
        <v>0</v>
      </c>
      <c r="M14" s="64">
        <v>1</v>
      </c>
      <c r="N14" s="65">
        <v>0</v>
      </c>
      <c r="O14" s="64">
        <v>1</v>
      </c>
      <c r="P14" s="65">
        <v>31</v>
      </c>
      <c r="Q14" s="66">
        <v>1</v>
      </c>
      <c r="R14" s="65">
        <v>22</v>
      </c>
      <c r="S14" s="64">
        <v>1</v>
      </c>
      <c r="T14" s="67">
        <v>28</v>
      </c>
      <c r="U14" s="68">
        <v>1</v>
      </c>
      <c r="V14" s="67">
        <v>24</v>
      </c>
      <c r="W14" s="64">
        <v>1</v>
      </c>
      <c r="X14" s="65">
        <v>10</v>
      </c>
    </row>
    <row r="15" spans="1:24" ht="15.75">
      <c r="A15" s="55">
        <v>10</v>
      </c>
      <c r="B15" s="56" t="s">
        <v>45</v>
      </c>
      <c r="C15" s="57">
        <v>3</v>
      </c>
      <c r="D15" s="58">
        <v>23</v>
      </c>
      <c r="E15" s="59">
        <v>2</v>
      </c>
      <c r="F15" s="60">
        <v>0</v>
      </c>
      <c r="G15" s="57">
        <v>1</v>
      </c>
      <c r="H15" s="61">
        <v>0</v>
      </c>
      <c r="I15" s="62">
        <v>1</v>
      </c>
      <c r="J15" s="63">
        <v>2</v>
      </c>
      <c r="K15" s="57">
        <v>1</v>
      </c>
      <c r="L15" s="61">
        <v>1</v>
      </c>
      <c r="M15" s="64">
        <v>1</v>
      </c>
      <c r="N15" s="65">
        <v>1</v>
      </c>
      <c r="O15" s="64">
        <v>1</v>
      </c>
      <c r="P15" s="65">
        <v>3</v>
      </c>
      <c r="Q15" s="66">
        <v>1</v>
      </c>
      <c r="R15" s="65">
        <v>4</v>
      </c>
      <c r="S15" s="64">
        <v>1</v>
      </c>
      <c r="T15" s="67">
        <v>3</v>
      </c>
      <c r="U15" s="68">
        <v>1</v>
      </c>
      <c r="V15" s="67">
        <v>4</v>
      </c>
      <c r="W15" s="64">
        <v>1</v>
      </c>
      <c r="X15" s="65">
        <v>3</v>
      </c>
    </row>
    <row r="16" spans="1:24" ht="15.75">
      <c r="A16" s="55">
        <v>11</v>
      </c>
      <c r="B16" s="56" t="s">
        <v>46</v>
      </c>
      <c r="C16" s="57">
        <v>43</v>
      </c>
      <c r="D16" s="58">
        <v>450</v>
      </c>
      <c r="E16" s="59">
        <v>38</v>
      </c>
      <c r="F16" s="60">
        <v>275</v>
      </c>
      <c r="G16" s="57">
        <v>38</v>
      </c>
      <c r="H16" s="61">
        <v>342</v>
      </c>
      <c r="I16" s="62">
        <v>38</v>
      </c>
      <c r="J16" s="63">
        <v>475</v>
      </c>
      <c r="K16" s="57">
        <v>38</v>
      </c>
      <c r="L16" s="61">
        <v>548</v>
      </c>
      <c r="M16" s="73">
        <v>38</v>
      </c>
      <c r="N16" s="74">
        <v>463</v>
      </c>
      <c r="O16" s="73">
        <v>38</v>
      </c>
      <c r="P16" s="74">
        <v>49</v>
      </c>
      <c r="Q16" s="75">
        <v>36</v>
      </c>
      <c r="R16" s="74">
        <v>48</v>
      </c>
      <c r="S16" s="73">
        <v>36</v>
      </c>
      <c r="T16" s="74">
        <v>24</v>
      </c>
      <c r="U16" s="73">
        <v>36</v>
      </c>
      <c r="V16" s="74">
        <v>48</v>
      </c>
      <c r="W16" s="73">
        <v>34</v>
      </c>
      <c r="X16" s="74">
        <v>32</v>
      </c>
    </row>
    <row r="17" spans="1:24" ht="15.75">
      <c r="A17" s="76">
        <v>12</v>
      </c>
      <c r="B17" s="77" t="s">
        <v>47</v>
      </c>
      <c r="C17" s="73"/>
      <c r="D17" s="58"/>
      <c r="E17" s="75"/>
      <c r="F17" s="60"/>
      <c r="G17" s="57"/>
      <c r="H17" s="61">
        <v>19</v>
      </c>
      <c r="I17" s="62"/>
      <c r="J17" s="63"/>
      <c r="K17" s="73"/>
      <c r="L17" s="61"/>
      <c r="M17" s="73"/>
      <c r="N17" s="74"/>
      <c r="O17" s="73"/>
      <c r="P17" s="74"/>
      <c r="Q17" s="75"/>
      <c r="R17" s="74"/>
      <c r="S17" s="73"/>
      <c r="T17" s="74"/>
      <c r="U17" s="73"/>
      <c r="V17" s="74"/>
      <c r="W17" s="73"/>
      <c r="X17" s="74"/>
    </row>
    <row r="18" spans="1:24" ht="15.75">
      <c r="A18" s="76"/>
      <c r="B18" s="78" t="s">
        <v>48</v>
      </c>
      <c r="C18" s="73"/>
      <c r="D18" s="74"/>
      <c r="E18" s="75"/>
      <c r="F18" s="79"/>
      <c r="G18" s="57"/>
      <c r="H18" s="80"/>
      <c r="I18" s="62"/>
      <c r="J18" s="81"/>
      <c r="K18" s="73"/>
      <c r="L18" s="80"/>
      <c r="M18" s="73"/>
      <c r="N18" s="74"/>
      <c r="O18" s="73"/>
      <c r="P18" s="74"/>
      <c r="Q18" s="75"/>
      <c r="R18" s="74"/>
      <c r="S18" s="73"/>
      <c r="T18" s="74"/>
      <c r="U18" s="73"/>
      <c r="V18" s="74"/>
      <c r="W18" s="73"/>
      <c r="X18" s="74"/>
    </row>
    <row r="19" spans="1:24" ht="16.5" thickBot="1">
      <c r="A19" s="82"/>
      <c r="B19" s="83"/>
      <c r="C19" s="84"/>
      <c r="D19" s="85"/>
      <c r="E19" s="86"/>
      <c r="F19" s="87"/>
      <c r="G19" s="84"/>
      <c r="H19" s="85"/>
      <c r="I19" s="86"/>
      <c r="J19" s="87"/>
      <c r="K19" s="84"/>
      <c r="L19" s="85"/>
      <c r="M19" s="84"/>
      <c r="N19" s="85"/>
      <c r="O19" s="84"/>
      <c r="P19" s="85"/>
      <c r="Q19" s="84"/>
      <c r="R19" s="85"/>
      <c r="S19" s="84"/>
      <c r="T19" s="85"/>
      <c r="U19" s="84"/>
      <c r="V19" s="85"/>
      <c r="W19" s="88"/>
      <c r="X19" s="85"/>
    </row>
    <row r="20" spans="1:24" ht="16.5" thickBot="1">
      <c r="A20" s="38"/>
      <c r="B20" s="89" t="s">
        <v>6</v>
      </c>
      <c r="C20" s="90">
        <f t="shared" ref="C20:X20" si="0">SUM(C7:C19)</f>
        <v>5462</v>
      </c>
      <c r="D20" s="91">
        <f t="shared" si="0"/>
        <v>10513</v>
      </c>
      <c r="E20" s="89">
        <f t="shared" si="0"/>
        <v>5461</v>
      </c>
      <c r="F20" s="89">
        <f t="shared" si="0"/>
        <v>5114</v>
      </c>
      <c r="G20" s="90">
        <f t="shared" si="0"/>
        <v>5485</v>
      </c>
      <c r="H20" s="91">
        <f t="shared" si="0"/>
        <v>12283</v>
      </c>
      <c r="I20" s="89">
        <f t="shared" si="0"/>
        <v>5614</v>
      </c>
      <c r="J20" s="89">
        <f t="shared" si="0"/>
        <v>6731</v>
      </c>
      <c r="K20" s="90">
        <f t="shared" si="0"/>
        <v>5707</v>
      </c>
      <c r="L20" s="91">
        <f t="shared" si="0"/>
        <v>5302</v>
      </c>
      <c r="M20" s="90">
        <f t="shared" si="0"/>
        <v>5721</v>
      </c>
      <c r="N20" s="91">
        <f t="shared" si="0"/>
        <v>12032</v>
      </c>
      <c r="O20" s="90">
        <f t="shared" si="0"/>
        <v>5794</v>
      </c>
      <c r="P20" s="91">
        <f t="shared" si="0"/>
        <v>14387</v>
      </c>
      <c r="Q20" s="90">
        <f t="shared" si="0"/>
        <v>5959</v>
      </c>
      <c r="R20" s="91">
        <f t="shared" si="0"/>
        <v>11792</v>
      </c>
      <c r="S20" s="90">
        <f t="shared" si="0"/>
        <v>6035</v>
      </c>
      <c r="T20" s="91">
        <f t="shared" si="0"/>
        <v>13221</v>
      </c>
      <c r="U20" s="90">
        <f t="shared" si="0"/>
        <v>6079</v>
      </c>
      <c r="V20" s="91">
        <f t="shared" si="0"/>
        <v>14708</v>
      </c>
      <c r="W20" s="90">
        <f t="shared" si="0"/>
        <v>6027</v>
      </c>
      <c r="X20" s="91">
        <f t="shared" si="0"/>
        <v>13840</v>
      </c>
    </row>
    <row r="21" spans="1:24" ht="15.75">
      <c r="A21" s="92">
        <v>13</v>
      </c>
      <c r="B21" s="93" t="s">
        <v>49</v>
      </c>
      <c r="C21" s="57">
        <v>124</v>
      </c>
      <c r="D21" s="58">
        <v>75</v>
      </c>
      <c r="E21" s="59">
        <v>113</v>
      </c>
      <c r="F21" s="60">
        <v>55</v>
      </c>
      <c r="G21" s="57">
        <v>106</v>
      </c>
      <c r="H21" s="61">
        <v>8</v>
      </c>
      <c r="I21" s="62">
        <v>110</v>
      </c>
      <c r="J21" s="63">
        <v>85</v>
      </c>
      <c r="K21" s="57">
        <v>110</v>
      </c>
      <c r="L21" s="61">
        <v>65</v>
      </c>
      <c r="M21" s="64">
        <v>109</v>
      </c>
      <c r="N21" s="65">
        <v>64</v>
      </c>
      <c r="O21" s="64">
        <v>113</v>
      </c>
      <c r="P21" s="65">
        <v>83</v>
      </c>
      <c r="Q21" s="66">
        <v>114</v>
      </c>
      <c r="R21" s="65">
        <v>107</v>
      </c>
      <c r="S21" s="64">
        <v>109</v>
      </c>
      <c r="T21" s="65">
        <v>44</v>
      </c>
      <c r="U21" s="64">
        <v>109</v>
      </c>
      <c r="V21" s="65">
        <v>108</v>
      </c>
      <c r="W21" s="94">
        <v>108</v>
      </c>
      <c r="X21" s="65">
        <v>103</v>
      </c>
    </row>
    <row r="22" spans="1:24" ht="15.75">
      <c r="A22" s="95">
        <v>14</v>
      </c>
      <c r="B22" s="96" t="s">
        <v>50</v>
      </c>
      <c r="C22" s="57">
        <v>1170</v>
      </c>
      <c r="D22" s="58">
        <v>818</v>
      </c>
      <c r="E22" s="59">
        <v>1145</v>
      </c>
      <c r="F22" s="60">
        <v>472</v>
      </c>
      <c r="G22" s="57">
        <v>1122</v>
      </c>
      <c r="H22" s="61">
        <v>607</v>
      </c>
      <c r="I22" s="62">
        <v>1126</v>
      </c>
      <c r="J22" s="63">
        <v>1461</v>
      </c>
      <c r="K22" s="57">
        <v>1108</v>
      </c>
      <c r="L22" s="61">
        <v>648</v>
      </c>
      <c r="M22" s="64">
        <v>1100</v>
      </c>
      <c r="N22" s="65">
        <v>941</v>
      </c>
      <c r="O22" s="64">
        <v>1107</v>
      </c>
      <c r="P22" s="65">
        <v>1182</v>
      </c>
      <c r="Q22" s="66">
        <v>1122</v>
      </c>
      <c r="R22" s="65">
        <v>1246</v>
      </c>
      <c r="S22" s="64">
        <v>1132</v>
      </c>
      <c r="T22" s="65">
        <v>2061</v>
      </c>
      <c r="U22" s="64">
        <v>1132</v>
      </c>
      <c r="V22" s="65">
        <v>2007</v>
      </c>
      <c r="W22" s="66">
        <v>1111</v>
      </c>
      <c r="X22" s="65">
        <v>1902</v>
      </c>
    </row>
    <row r="23" spans="1:24" ht="15.75">
      <c r="A23" s="95">
        <v>15</v>
      </c>
      <c r="B23" s="96" t="s">
        <v>51</v>
      </c>
      <c r="C23" s="57">
        <v>7</v>
      </c>
      <c r="D23" s="58"/>
      <c r="E23" s="59">
        <v>4</v>
      </c>
      <c r="F23" s="60"/>
      <c r="G23" s="57">
        <v>4</v>
      </c>
      <c r="H23" s="61"/>
      <c r="I23" s="62">
        <v>7</v>
      </c>
      <c r="J23" s="63">
        <v>6</v>
      </c>
      <c r="K23" s="57">
        <v>7</v>
      </c>
      <c r="L23" s="61">
        <v>1</v>
      </c>
      <c r="M23" s="64">
        <v>7</v>
      </c>
      <c r="N23" s="65">
        <v>2</v>
      </c>
      <c r="O23" s="64">
        <v>7</v>
      </c>
      <c r="P23" s="65">
        <v>10</v>
      </c>
      <c r="Q23" s="66">
        <v>7</v>
      </c>
      <c r="R23" s="65">
        <v>6</v>
      </c>
      <c r="S23" s="64">
        <v>7</v>
      </c>
      <c r="T23" s="65">
        <v>12</v>
      </c>
      <c r="U23" s="64">
        <v>7</v>
      </c>
      <c r="V23" s="65">
        <v>13</v>
      </c>
      <c r="W23" s="66">
        <v>7</v>
      </c>
      <c r="X23" s="65">
        <v>13</v>
      </c>
    </row>
    <row r="24" spans="1:24" ht="15.75">
      <c r="A24" s="95">
        <v>16</v>
      </c>
      <c r="B24" s="96" t="s">
        <v>52</v>
      </c>
      <c r="C24" s="57">
        <v>0</v>
      </c>
      <c r="D24" s="58"/>
      <c r="E24" s="59">
        <v>0</v>
      </c>
      <c r="F24" s="60"/>
      <c r="G24" s="57"/>
      <c r="H24" s="61"/>
      <c r="I24" s="62"/>
      <c r="J24" s="63"/>
      <c r="K24" s="57"/>
      <c r="L24" s="61"/>
      <c r="M24" s="73"/>
      <c r="N24" s="74"/>
      <c r="O24" s="73"/>
      <c r="P24" s="74"/>
      <c r="Q24" s="75"/>
      <c r="R24" s="74"/>
      <c r="S24" s="73"/>
      <c r="T24" s="74"/>
      <c r="U24" s="73"/>
      <c r="V24" s="74"/>
      <c r="W24" s="75"/>
      <c r="X24" s="74"/>
    </row>
    <row r="25" spans="1:24" ht="15.75">
      <c r="A25" s="97">
        <v>17</v>
      </c>
      <c r="B25" s="98" t="s">
        <v>53</v>
      </c>
      <c r="C25" s="99">
        <v>0</v>
      </c>
      <c r="D25" s="58"/>
      <c r="E25" s="100">
        <v>0</v>
      </c>
      <c r="F25" s="60"/>
      <c r="G25" s="101"/>
      <c r="H25" s="61"/>
      <c r="I25" s="100"/>
      <c r="J25" s="63"/>
      <c r="K25" s="101"/>
      <c r="L25" s="61"/>
      <c r="M25" s="99"/>
      <c r="N25" s="102"/>
      <c r="O25" s="99"/>
      <c r="P25" s="102"/>
      <c r="Q25" s="103"/>
      <c r="R25" s="102"/>
      <c r="S25" s="99"/>
      <c r="T25" s="102"/>
      <c r="U25" s="99"/>
      <c r="V25" s="102"/>
      <c r="W25" s="75"/>
      <c r="X25" s="74"/>
    </row>
    <row r="26" spans="1:24" ht="16.5" thickBot="1">
      <c r="A26" s="104"/>
      <c r="B26" s="105"/>
      <c r="C26" s="88">
        <v>0</v>
      </c>
      <c r="D26" s="106"/>
      <c r="E26" s="107">
        <v>0</v>
      </c>
      <c r="F26" s="108"/>
      <c r="G26" s="88"/>
      <c r="H26" s="106"/>
      <c r="I26" s="107"/>
      <c r="J26" s="108"/>
      <c r="K26" s="88"/>
      <c r="L26" s="106"/>
      <c r="M26" s="88"/>
      <c r="N26" s="106"/>
      <c r="O26" s="88"/>
      <c r="P26" s="106"/>
      <c r="Q26" s="88"/>
      <c r="R26" s="106"/>
      <c r="S26" s="88"/>
      <c r="T26" s="106"/>
      <c r="U26" s="88"/>
      <c r="V26" s="106"/>
      <c r="W26" s="107"/>
      <c r="X26" s="102"/>
    </row>
    <row r="27" spans="1:24" ht="16.5" thickBot="1">
      <c r="A27" s="38"/>
      <c r="B27" s="91" t="s">
        <v>54</v>
      </c>
      <c r="C27" s="90">
        <f t="shared" ref="C27:X27" si="1">SUM(C21:C26)</f>
        <v>1301</v>
      </c>
      <c r="D27" s="91">
        <f t="shared" si="1"/>
        <v>893</v>
      </c>
      <c r="E27" s="89">
        <f t="shared" si="1"/>
        <v>1262</v>
      </c>
      <c r="F27" s="89">
        <f t="shared" si="1"/>
        <v>527</v>
      </c>
      <c r="G27" s="90">
        <f t="shared" si="1"/>
        <v>1232</v>
      </c>
      <c r="H27" s="91">
        <f t="shared" si="1"/>
        <v>615</v>
      </c>
      <c r="I27" s="89">
        <f t="shared" si="1"/>
        <v>1243</v>
      </c>
      <c r="J27" s="89">
        <f t="shared" si="1"/>
        <v>1552</v>
      </c>
      <c r="K27" s="90">
        <f t="shared" si="1"/>
        <v>1225</v>
      </c>
      <c r="L27" s="91">
        <f t="shared" si="1"/>
        <v>714</v>
      </c>
      <c r="M27" s="90">
        <f t="shared" si="1"/>
        <v>1216</v>
      </c>
      <c r="N27" s="91">
        <f t="shared" si="1"/>
        <v>1007</v>
      </c>
      <c r="O27" s="90">
        <f t="shared" si="1"/>
        <v>1227</v>
      </c>
      <c r="P27" s="91">
        <f t="shared" si="1"/>
        <v>1275</v>
      </c>
      <c r="Q27" s="89">
        <f t="shared" si="1"/>
        <v>1243</v>
      </c>
      <c r="R27" s="91">
        <f t="shared" si="1"/>
        <v>1359</v>
      </c>
      <c r="S27" s="90">
        <f t="shared" si="1"/>
        <v>1248</v>
      </c>
      <c r="T27" s="91">
        <f t="shared" si="1"/>
        <v>2117</v>
      </c>
      <c r="U27" s="90">
        <f t="shared" si="1"/>
        <v>1248</v>
      </c>
      <c r="V27" s="91">
        <f t="shared" si="1"/>
        <v>2128</v>
      </c>
      <c r="W27" s="89">
        <f t="shared" si="1"/>
        <v>1226</v>
      </c>
      <c r="X27" s="91">
        <f t="shared" si="1"/>
        <v>2018</v>
      </c>
    </row>
    <row r="28" spans="1:24" ht="15.75">
      <c r="A28" s="92">
        <v>18</v>
      </c>
      <c r="B28" s="93" t="s">
        <v>55</v>
      </c>
      <c r="C28" s="57">
        <v>2543</v>
      </c>
      <c r="D28" s="58">
        <v>2701</v>
      </c>
      <c r="E28" s="109">
        <v>2589</v>
      </c>
      <c r="F28" s="60">
        <v>1817</v>
      </c>
      <c r="G28" s="57">
        <v>2744</v>
      </c>
      <c r="H28" s="61">
        <v>4364</v>
      </c>
      <c r="I28" s="62">
        <v>2804</v>
      </c>
      <c r="J28" s="63">
        <v>2587</v>
      </c>
      <c r="K28" s="57">
        <v>2847</v>
      </c>
      <c r="L28" s="61">
        <v>3148</v>
      </c>
      <c r="M28" s="64">
        <v>2919</v>
      </c>
      <c r="N28" s="65">
        <v>389</v>
      </c>
      <c r="O28" s="64">
        <v>2935</v>
      </c>
      <c r="P28" s="65">
        <v>2787</v>
      </c>
      <c r="Q28" s="66">
        <v>2979</v>
      </c>
      <c r="R28" s="65">
        <v>945</v>
      </c>
      <c r="S28" s="64">
        <v>3060</v>
      </c>
      <c r="T28" s="65">
        <v>3243</v>
      </c>
      <c r="U28" s="64">
        <v>3120</v>
      </c>
      <c r="V28" s="65">
        <v>1415</v>
      </c>
      <c r="W28" s="110">
        <v>3131</v>
      </c>
      <c r="X28" s="65">
        <v>2949</v>
      </c>
    </row>
    <row r="29" spans="1:24" ht="15.75">
      <c r="A29" s="95">
        <v>19</v>
      </c>
      <c r="B29" s="96" t="s">
        <v>56</v>
      </c>
      <c r="C29" s="57">
        <v>95</v>
      </c>
      <c r="D29" s="58">
        <v>208</v>
      </c>
      <c r="E29" s="109">
        <v>87</v>
      </c>
      <c r="F29" s="60">
        <v>155</v>
      </c>
      <c r="G29" s="57">
        <v>94</v>
      </c>
      <c r="H29" s="61">
        <v>60</v>
      </c>
      <c r="I29" s="62">
        <v>101</v>
      </c>
      <c r="J29" s="63">
        <v>88</v>
      </c>
      <c r="K29" s="57">
        <v>103</v>
      </c>
      <c r="L29" s="61">
        <v>112</v>
      </c>
      <c r="M29" s="64">
        <v>105</v>
      </c>
      <c r="N29" s="65">
        <v>576</v>
      </c>
      <c r="O29" s="64">
        <v>106</v>
      </c>
      <c r="P29" s="65">
        <v>181</v>
      </c>
      <c r="Q29" s="66">
        <v>113</v>
      </c>
      <c r="R29" s="65">
        <v>71</v>
      </c>
      <c r="S29" s="64">
        <v>125</v>
      </c>
      <c r="T29" s="65">
        <v>108</v>
      </c>
      <c r="U29" s="64">
        <v>149</v>
      </c>
      <c r="V29" s="65">
        <v>204</v>
      </c>
      <c r="W29" s="64">
        <v>152</v>
      </c>
      <c r="X29" s="65">
        <v>193</v>
      </c>
    </row>
    <row r="30" spans="1:24" ht="15.75">
      <c r="A30" s="95">
        <v>20</v>
      </c>
      <c r="B30" s="96" t="s">
        <v>57</v>
      </c>
      <c r="C30" s="57">
        <v>99</v>
      </c>
      <c r="D30" s="58">
        <v>259</v>
      </c>
      <c r="E30" s="109">
        <v>105</v>
      </c>
      <c r="F30" s="60">
        <v>157</v>
      </c>
      <c r="G30" s="57">
        <v>110</v>
      </c>
      <c r="H30" s="61">
        <v>126</v>
      </c>
      <c r="I30" s="62">
        <v>115</v>
      </c>
      <c r="J30" s="63">
        <v>165</v>
      </c>
      <c r="K30" s="57">
        <v>120</v>
      </c>
      <c r="L30" s="61">
        <v>147</v>
      </c>
      <c r="M30" s="64">
        <v>121</v>
      </c>
      <c r="N30" s="65">
        <v>134</v>
      </c>
      <c r="O30" s="64">
        <v>120</v>
      </c>
      <c r="P30" s="65">
        <v>146</v>
      </c>
      <c r="Q30" s="66">
        <v>122</v>
      </c>
      <c r="R30" s="65">
        <v>182</v>
      </c>
      <c r="S30" s="64">
        <v>136</v>
      </c>
      <c r="T30" s="65">
        <v>151</v>
      </c>
      <c r="U30" s="64">
        <v>153</v>
      </c>
      <c r="V30" s="65">
        <v>232</v>
      </c>
      <c r="W30" s="64">
        <v>149</v>
      </c>
      <c r="X30" s="65">
        <v>229</v>
      </c>
    </row>
    <row r="31" spans="1:24" ht="15.75">
      <c r="A31" s="95">
        <v>21</v>
      </c>
      <c r="B31" s="96" t="s">
        <v>58</v>
      </c>
      <c r="C31" s="111">
        <v>10</v>
      </c>
      <c r="D31" s="112"/>
      <c r="E31" s="113">
        <v>9</v>
      </c>
      <c r="F31" s="114">
        <v>15</v>
      </c>
      <c r="G31" s="111">
        <v>8</v>
      </c>
      <c r="H31" s="112">
        <v>115</v>
      </c>
      <c r="I31" s="62">
        <v>8</v>
      </c>
      <c r="J31" s="63">
        <v>122</v>
      </c>
      <c r="K31" s="57">
        <v>8</v>
      </c>
      <c r="L31" s="61">
        <v>154</v>
      </c>
      <c r="M31" s="64">
        <v>10</v>
      </c>
      <c r="N31" s="65">
        <v>117</v>
      </c>
      <c r="O31" s="64">
        <v>10</v>
      </c>
      <c r="P31" s="65">
        <v>17</v>
      </c>
      <c r="Q31" s="66">
        <v>10</v>
      </c>
      <c r="R31" s="65">
        <v>19</v>
      </c>
      <c r="S31" s="64">
        <v>10</v>
      </c>
      <c r="T31" s="65">
        <v>22</v>
      </c>
      <c r="U31" s="64">
        <v>12</v>
      </c>
      <c r="V31" s="65">
        <v>27</v>
      </c>
      <c r="W31" s="64">
        <v>12</v>
      </c>
      <c r="X31" s="65">
        <v>22</v>
      </c>
    </row>
    <row r="32" spans="1:24" ht="15.75">
      <c r="A32" s="95">
        <v>22</v>
      </c>
      <c r="B32" s="96" t="s">
        <v>59</v>
      </c>
      <c r="C32" s="111">
        <v>30</v>
      </c>
      <c r="D32" s="112">
        <v>58</v>
      </c>
      <c r="E32" s="59">
        <v>31</v>
      </c>
      <c r="F32" s="114">
        <v>35</v>
      </c>
      <c r="G32" s="57">
        <v>33</v>
      </c>
      <c r="H32" s="112">
        <v>237</v>
      </c>
      <c r="I32" s="62">
        <v>38</v>
      </c>
      <c r="J32" s="63">
        <v>126</v>
      </c>
      <c r="K32" s="57">
        <v>46</v>
      </c>
      <c r="L32" s="61">
        <v>151</v>
      </c>
      <c r="M32" s="64">
        <v>58</v>
      </c>
      <c r="N32" s="65">
        <v>75</v>
      </c>
      <c r="O32" s="64">
        <v>61</v>
      </c>
      <c r="P32" s="65">
        <v>68</v>
      </c>
      <c r="Q32" s="66">
        <v>61</v>
      </c>
      <c r="R32" s="65">
        <v>131</v>
      </c>
      <c r="S32" s="64">
        <v>73</v>
      </c>
      <c r="T32" s="65">
        <v>127</v>
      </c>
      <c r="U32" s="64">
        <v>83</v>
      </c>
      <c r="V32" s="65">
        <v>112</v>
      </c>
      <c r="W32" s="64">
        <v>85</v>
      </c>
      <c r="X32" s="65">
        <v>107</v>
      </c>
    </row>
    <row r="33" spans="1:24" ht="15.75">
      <c r="A33" s="95">
        <v>23</v>
      </c>
      <c r="B33" s="96" t="s">
        <v>60</v>
      </c>
      <c r="C33" s="111">
        <v>108</v>
      </c>
      <c r="D33" s="112">
        <v>39</v>
      </c>
      <c r="E33" s="113">
        <v>123</v>
      </c>
      <c r="F33" s="114">
        <v>58</v>
      </c>
      <c r="G33" s="115">
        <v>145</v>
      </c>
      <c r="H33" s="116">
        <v>137</v>
      </c>
      <c r="I33" s="117">
        <v>154</v>
      </c>
      <c r="J33" s="118">
        <v>203</v>
      </c>
      <c r="K33" s="119">
        <v>157</v>
      </c>
      <c r="L33" s="120">
        <v>147</v>
      </c>
      <c r="M33" s="68">
        <v>166</v>
      </c>
      <c r="N33" s="67">
        <v>238</v>
      </c>
      <c r="O33" s="64">
        <v>162</v>
      </c>
      <c r="P33" s="65">
        <v>222</v>
      </c>
      <c r="Q33" s="66">
        <v>163</v>
      </c>
      <c r="R33" s="65">
        <v>220</v>
      </c>
      <c r="S33" s="64">
        <v>186</v>
      </c>
      <c r="T33" s="65">
        <v>201</v>
      </c>
      <c r="U33" s="64">
        <v>191</v>
      </c>
      <c r="V33" s="65">
        <v>276</v>
      </c>
      <c r="W33" s="64">
        <v>190</v>
      </c>
      <c r="X33" s="65">
        <v>273</v>
      </c>
    </row>
    <row r="34" spans="1:24" ht="15.75">
      <c r="A34" s="95">
        <v>24</v>
      </c>
      <c r="B34" s="96" t="s">
        <v>48</v>
      </c>
      <c r="C34" s="57"/>
      <c r="D34" s="112"/>
      <c r="E34" s="59"/>
      <c r="F34" s="60"/>
      <c r="G34" s="119"/>
      <c r="H34" s="120">
        <v>7</v>
      </c>
      <c r="I34" s="117"/>
      <c r="J34" s="118"/>
      <c r="K34" s="119"/>
      <c r="L34" s="120"/>
      <c r="M34" s="68"/>
      <c r="N34" s="67"/>
      <c r="O34" s="64"/>
      <c r="P34" s="65"/>
      <c r="Q34" s="66"/>
      <c r="R34" s="65"/>
      <c r="S34" s="64"/>
      <c r="T34" s="65"/>
      <c r="U34" s="64"/>
      <c r="V34" s="65"/>
      <c r="W34" s="64"/>
      <c r="X34" s="65"/>
    </row>
    <row r="35" spans="1:24" ht="15.75">
      <c r="A35" s="95">
        <v>25</v>
      </c>
      <c r="B35" s="96" t="s">
        <v>61</v>
      </c>
      <c r="C35" s="57"/>
      <c r="D35" s="112"/>
      <c r="E35" s="59"/>
      <c r="F35" s="60"/>
      <c r="G35" s="119"/>
      <c r="H35" s="120"/>
      <c r="I35" s="117"/>
      <c r="J35" s="118"/>
      <c r="K35" s="119"/>
      <c r="L35" s="120"/>
      <c r="M35" s="68"/>
      <c r="N35" s="67"/>
      <c r="O35" s="64"/>
      <c r="P35" s="65"/>
      <c r="Q35" s="66"/>
      <c r="R35" s="65"/>
      <c r="S35" s="64"/>
      <c r="T35" s="65"/>
      <c r="U35" s="64"/>
      <c r="V35" s="65"/>
      <c r="W35" s="64"/>
      <c r="X35" s="65"/>
    </row>
    <row r="36" spans="1:24" ht="15.75">
      <c r="A36" s="95">
        <v>26</v>
      </c>
      <c r="B36" s="96" t="s">
        <v>62</v>
      </c>
      <c r="C36" s="111"/>
      <c r="D36" s="112"/>
      <c r="E36" s="113"/>
      <c r="F36" s="114"/>
      <c r="G36" s="115"/>
      <c r="H36" s="120"/>
      <c r="I36" s="117"/>
      <c r="J36" s="118"/>
      <c r="K36" s="119"/>
      <c r="L36" s="120"/>
      <c r="M36" s="68"/>
      <c r="N36" s="67"/>
      <c r="O36" s="64"/>
      <c r="P36" s="65"/>
      <c r="Q36" s="66"/>
      <c r="R36" s="65"/>
      <c r="S36" s="64"/>
      <c r="T36" s="65"/>
      <c r="U36" s="64"/>
      <c r="V36" s="65"/>
      <c r="W36" s="64"/>
      <c r="X36" s="65"/>
    </row>
    <row r="37" spans="1:24" ht="15.75">
      <c r="A37" s="95">
        <v>27</v>
      </c>
      <c r="B37" s="96" t="s">
        <v>63</v>
      </c>
      <c r="C37" s="111"/>
      <c r="D37" s="58"/>
      <c r="E37" s="109"/>
      <c r="F37" s="60"/>
      <c r="G37" s="115"/>
      <c r="H37" s="116"/>
      <c r="I37" s="117"/>
      <c r="J37" s="118"/>
      <c r="K37" s="119"/>
      <c r="L37" s="120"/>
      <c r="M37" s="68"/>
      <c r="N37" s="67">
        <v>18</v>
      </c>
      <c r="O37" s="64"/>
      <c r="P37" s="65">
        <v>0</v>
      </c>
      <c r="Q37" s="66"/>
      <c r="R37" s="65"/>
      <c r="S37" s="68"/>
      <c r="T37" s="67"/>
      <c r="U37" s="68"/>
      <c r="V37" s="65"/>
      <c r="W37" s="64"/>
      <c r="X37" s="65"/>
    </row>
    <row r="38" spans="1:24" ht="15.75">
      <c r="A38" s="95">
        <v>28</v>
      </c>
      <c r="B38" s="96" t="s">
        <v>64</v>
      </c>
      <c r="C38" s="111"/>
      <c r="D38" s="112"/>
      <c r="E38" s="113"/>
      <c r="F38" s="114"/>
      <c r="G38" s="115"/>
      <c r="H38" s="120"/>
      <c r="I38" s="117"/>
      <c r="J38" s="121"/>
      <c r="K38" s="119"/>
      <c r="L38" s="120"/>
      <c r="M38" s="68"/>
      <c r="N38" s="67"/>
      <c r="O38" s="64"/>
      <c r="P38" s="65"/>
      <c r="Q38" s="66"/>
      <c r="R38" s="65"/>
      <c r="S38" s="68"/>
      <c r="T38" s="67"/>
      <c r="U38" s="68"/>
      <c r="V38" s="65"/>
      <c r="W38" s="64"/>
      <c r="X38" s="65"/>
    </row>
    <row r="39" spans="1:24" ht="15.75">
      <c r="A39" s="95">
        <v>29</v>
      </c>
      <c r="B39" s="96" t="s">
        <v>65</v>
      </c>
      <c r="C39" s="111"/>
      <c r="D39" s="112"/>
      <c r="E39" s="113"/>
      <c r="F39" s="114"/>
      <c r="G39" s="115"/>
      <c r="H39" s="116"/>
      <c r="I39" s="117"/>
      <c r="J39" s="121"/>
      <c r="K39" s="119"/>
      <c r="L39" s="120"/>
      <c r="M39" s="68"/>
      <c r="N39" s="67"/>
      <c r="O39" s="64"/>
      <c r="P39" s="65"/>
      <c r="Q39" s="66"/>
      <c r="R39" s="65"/>
      <c r="S39" s="68"/>
      <c r="T39" s="67"/>
      <c r="U39" s="68"/>
      <c r="V39" s="65"/>
      <c r="W39" s="64"/>
      <c r="X39" s="65"/>
    </row>
    <row r="40" spans="1:24" ht="15.75">
      <c r="A40" s="95">
        <v>30</v>
      </c>
      <c r="B40" s="96" t="s">
        <v>66</v>
      </c>
      <c r="C40" s="111">
        <v>1</v>
      </c>
      <c r="D40" s="112"/>
      <c r="E40" s="113">
        <v>1</v>
      </c>
      <c r="F40" s="114"/>
      <c r="G40" s="115"/>
      <c r="H40" s="116">
        <v>1</v>
      </c>
      <c r="I40" s="117"/>
      <c r="J40" s="121"/>
      <c r="K40" s="119"/>
      <c r="L40" s="120"/>
      <c r="M40" s="68"/>
      <c r="N40" s="67">
        <v>1</v>
      </c>
      <c r="O40" s="64"/>
      <c r="P40" s="65">
        <v>0</v>
      </c>
      <c r="Q40" s="66"/>
      <c r="R40" s="65"/>
      <c r="S40" s="68"/>
      <c r="T40" s="67">
        <v>1</v>
      </c>
      <c r="U40" s="68">
        <v>8</v>
      </c>
      <c r="V40" s="65">
        <v>1</v>
      </c>
      <c r="W40" s="64">
        <v>10</v>
      </c>
      <c r="X40" s="65">
        <v>1</v>
      </c>
    </row>
    <row r="41" spans="1:24" ht="15.75">
      <c r="A41" s="95">
        <v>31</v>
      </c>
      <c r="B41" s="96" t="s">
        <v>67</v>
      </c>
      <c r="C41" s="111"/>
      <c r="D41" s="112"/>
      <c r="E41" s="113"/>
      <c r="F41" s="60"/>
      <c r="G41" s="115"/>
      <c r="H41" s="116"/>
      <c r="I41" s="122"/>
      <c r="J41" s="121"/>
      <c r="K41" s="119"/>
      <c r="L41" s="120"/>
      <c r="M41" s="68"/>
      <c r="N41" s="67"/>
      <c r="O41" s="64"/>
      <c r="P41" s="65"/>
      <c r="Q41" s="66"/>
      <c r="R41" s="65"/>
      <c r="S41" s="68"/>
      <c r="T41" s="67"/>
      <c r="U41" s="68"/>
      <c r="V41" s="65"/>
      <c r="W41" s="64"/>
      <c r="X41" s="65"/>
    </row>
    <row r="42" spans="1:24" ht="15.75">
      <c r="A42" s="95">
        <v>32</v>
      </c>
      <c r="B42" s="96" t="s">
        <v>68</v>
      </c>
      <c r="C42" s="111"/>
      <c r="D42" s="112"/>
      <c r="E42" s="113"/>
      <c r="F42" s="114"/>
      <c r="G42" s="111"/>
      <c r="H42" s="112"/>
      <c r="I42" s="66"/>
      <c r="J42" s="114"/>
      <c r="K42" s="57"/>
      <c r="L42" s="61"/>
      <c r="M42" s="64"/>
      <c r="N42" s="65"/>
      <c r="O42" s="64"/>
      <c r="P42" s="65"/>
      <c r="Q42" s="66"/>
      <c r="R42" s="65"/>
      <c r="S42" s="68"/>
      <c r="T42" s="67"/>
      <c r="U42" s="68"/>
      <c r="V42" s="65"/>
      <c r="W42" s="64"/>
      <c r="X42" s="65"/>
    </row>
    <row r="43" spans="1:24" ht="15.75">
      <c r="A43" s="95">
        <v>33</v>
      </c>
      <c r="B43" s="96" t="s">
        <v>69</v>
      </c>
      <c r="C43" s="57"/>
      <c r="D43" s="80"/>
      <c r="E43" s="62"/>
      <c r="F43" s="81"/>
      <c r="G43" s="57"/>
      <c r="H43" s="80"/>
      <c r="I43" s="75"/>
      <c r="J43" s="81"/>
      <c r="K43" s="57"/>
      <c r="L43" s="80"/>
      <c r="M43" s="73"/>
      <c r="N43" s="74"/>
      <c r="O43" s="73"/>
      <c r="P43" s="74"/>
      <c r="Q43" s="75"/>
      <c r="R43" s="74"/>
      <c r="S43" s="73"/>
      <c r="T43" s="74"/>
      <c r="U43" s="73"/>
      <c r="V43" s="74"/>
      <c r="W43" s="73"/>
      <c r="X43" s="74"/>
    </row>
    <row r="44" spans="1:24" ht="15.75">
      <c r="A44" s="123">
        <v>34</v>
      </c>
      <c r="B44" s="124" t="s">
        <v>70</v>
      </c>
      <c r="C44" s="111"/>
      <c r="D44" s="112"/>
      <c r="E44" s="113"/>
      <c r="F44" s="114"/>
      <c r="G44" s="111"/>
      <c r="H44" s="112"/>
      <c r="I44" s="66"/>
      <c r="J44" s="63"/>
      <c r="K44" s="111"/>
      <c r="L44" s="112"/>
      <c r="M44" s="64"/>
      <c r="N44" s="65"/>
      <c r="O44" s="64"/>
      <c r="P44" s="65"/>
      <c r="Q44" s="66"/>
      <c r="R44" s="65"/>
      <c r="S44" s="64"/>
      <c r="T44" s="65"/>
      <c r="U44" s="64"/>
      <c r="V44" s="65"/>
      <c r="W44" s="64"/>
      <c r="X44" s="65"/>
    </row>
    <row r="45" spans="1:24" ht="15.75">
      <c r="A45" s="123">
        <v>35</v>
      </c>
      <c r="B45" s="124" t="s">
        <v>71</v>
      </c>
      <c r="C45" s="73"/>
      <c r="D45" s="74"/>
      <c r="E45" s="62"/>
      <c r="F45" s="79"/>
      <c r="G45" s="57"/>
      <c r="H45" s="80"/>
      <c r="I45" s="75"/>
      <c r="J45" s="79"/>
      <c r="K45" s="57"/>
      <c r="L45" s="80"/>
      <c r="M45" s="73"/>
      <c r="N45" s="74"/>
      <c r="O45" s="73"/>
      <c r="P45" s="74"/>
      <c r="Q45" s="75"/>
      <c r="R45" s="74"/>
      <c r="S45" s="73"/>
      <c r="T45" s="74"/>
      <c r="U45" s="73"/>
      <c r="V45" s="74"/>
      <c r="W45" s="99"/>
      <c r="X45" s="102"/>
    </row>
    <row r="46" spans="1:24" ht="16.5" thickBot="1">
      <c r="A46" s="97">
        <v>36</v>
      </c>
      <c r="B46" s="125"/>
      <c r="C46" s="84"/>
      <c r="D46" s="102"/>
      <c r="E46" s="86"/>
      <c r="F46" s="126"/>
      <c r="G46" s="127"/>
      <c r="H46" s="128"/>
      <c r="I46" s="86"/>
      <c r="J46" s="126"/>
      <c r="K46" s="127"/>
      <c r="L46" s="128"/>
      <c r="M46" s="99"/>
      <c r="N46" s="102"/>
      <c r="O46" s="99"/>
      <c r="P46" s="102"/>
      <c r="Q46" s="103"/>
      <c r="R46" s="102"/>
      <c r="S46" s="99"/>
      <c r="T46" s="102"/>
      <c r="U46" s="99"/>
      <c r="V46" s="102"/>
      <c r="W46" s="84"/>
      <c r="X46" s="102"/>
    </row>
    <row r="47" spans="1:24" ht="16.5" thickBot="1">
      <c r="A47" s="38"/>
      <c r="B47" s="89" t="s">
        <v>9</v>
      </c>
      <c r="C47" s="129">
        <f t="shared" ref="C47:X47" si="2">SUM(C28:C46)</f>
        <v>2886</v>
      </c>
      <c r="D47" s="91">
        <f t="shared" si="2"/>
        <v>3265</v>
      </c>
      <c r="E47" s="130">
        <f t="shared" si="2"/>
        <v>2945</v>
      </c>
      <c r="F47" s="89">
        <f t="shared" si="2"/>
        <v>2237</v>
      </c>
      <c r="G47" s="129">
        <f t="shared" si="2"/>
        <v>3134</v>
      </c>
      <c r="H47" s="91">
        <f t="shared" si="2"/>
        <v>5047</v>
      </c>
      <c r="I47" s="130">
        <f t="shared" si="2"/>
        <v>3220</v>
      </c>
      <c r="J47" s="89">
        <f t="shared" si="2"/>
        <v>3291</v>
      </c>
      <c r="K47" s="129">
        <f t="shared" si="2"/>
        <v>3281</v>
      </c>
      <c r="L47" s="91">
        <f t="shared" si="2"/>
        <v>3859</v>
      </c>
      <c r="M47" s="129">
        <f t="shared" si="2"/>
        <v>3379</v>
      </c>
      <c r="N47" s="91">
        <f t="shared" si="2"/>
        <v>1548</v>
      </c>
      <c r="O47" s="129">
        <f t="shared" si="2"/>
        <v>3394</v>
      </c>
      <c r="P47" s="91">
        <f t="shared" si="2"/>
        <v>3421</v>
      </c>
      <c r="Q47" s="129">
        <f t="shared" si="2"/>
        <v>3448</v>
      </c>
      <c r="R47" s="91">
        <f t="shared" si="2"/>
        <v>1568</v>
      </c>
      <c r="S47" s="129">
        <f t="shared" si="2"/>
        <v>3590</v>
      </c>
      <c r="T47" s="91">
        <f t="shared" si="2"/>
        <v>3853</v>
      </c>
      <c r="U47" s="129">
        <f t="shared" si="2"/>
        <v>3716</v>
      </c>
      <c r="V47" s="91">
        <f t="shared" si="2"/>
        <v>2267</v>
      </c>
      <c r="W47" s="40">
        <f t="shared" si="2"/>
        <v>3729</v>
      </c>
      <c r="X47" s="131">
        <f t="shared" si="2"/>
        <v>3774</v>
      </c>
    </row>
    <row r="48" spans="1:24" ht="15.75">
      <c r="A48" s="92">
        <v>37</v>
      </c>
      <c r="B48" s="93" t="s">
        <v>72</v>
      </c>
      <c r="C48" s="57">
        <v>414</v>
      </c>
      <c r="D48" s="58">
        <v>203</v>
      </c>
      <c r="E48" s="109">
        <v>393</v>
      </c>
      <c r="F48" s="60">
        <v>226</v>
      </c>
      <c r="G48" s="57">
        <v>381</v>
      </c>
      <c r="H48" s="61">
        <v>371</v>
      </c>
      <c r="I48" s="62">
        <v>383</v>
      </c>
      <c r="J48" s="63">
        <v>292</v>
      </c>
      <c r="K48" s="57">
        <v>383</v>
      </c>
      <c r="L48" s="61">
        <v>285</v>
      </c>
      <c r="M48" s="64">
        <v>391</v>
      </c>
      <c r="N48" s="65">
        <v>239</v>
      </c>
      <c r="O48" s="64">
        <v>388</v>
      </c>
      <c r="P48" s="65">
        <v>232</v>
      </c>
      <c r="Q48" s="66">
        <v>379</v>
      </c>
      <c r="R48" s="65">
        <v>294</v>
      </c>
      <c r="S48" s="64">
        <v>380</v>
      </c>
      <c r="T48" s="67">
        <v>274</v>
      </c>
      <c r="U48" s="64">
        <v>381</v>
      </c>
      <c r="V48" s="67">
        <v>582</v>
      </c>
      <c r="W48" s="110">
        <v>382</v>
      </c>
      <c r="X48" s="65">
        <v>393</v>
      </c>
    </row>
    <row r="49" spans="1:24" ht="15.75">
      <c r="A49" s="95">
        <v>38</v>
      </c>
      <c r="B49" s="96" t="s">
        <v>73</v>
      </c>
      <c r="C49" s="57">
        <v>9</v>
      </c>
      <c r="D49" s="58">
        <v>13</v>
      </c>
      <c r="E49" s="109">
        <v>13</v>
      </c>
      <c r="F49" s="60">
        <v>19</v>
      </c>
      <c r="G49" s="57">
        <v>12</v>
      </c>
      <c r="H49" s="61">
        <v>26</v>
      </c>
      <c r="I49" s="62">
        <v>12</v>
      </c>
      <c r="J49" s="63">
        <v>52</v>
      </c>
      <c r="K49" s="57">
        <v>10</v>
      </c>
      <c r="L49" s="61">
        <v>57</v>
      </c>
      <c r="M49" s="64">
        <v>9</v>
      </c>
      <c r="N49" s="65">
        <v>48</v>
      </c>
      <c r="O49" s="64">
        <v>8</v>
      </c>
      <c r="P49" s="65">
        <v>22</v>
      </c>
      <c r="Q49" s="66">
        <v>8</v>
      </c>
      <c r="R49" s="65">
        <v>39</v>
      </c>
      <c r="S49" s="64">
        <v>8</v>
      </c>
      <c r="T49" s="67">
        <v>18</v>
      </c>
      <c r="U49" s="64">
        <v>8</v>
      </c>
      <c r="V49" s="67">
        <v>13</v>
      </c>
      <c r="W49" s="64">
        <v>8</v>
      </c>
      <c r="X49" s="65">
        <v>22</v>
      </c>
    </row>
    <row r="50" spans="1:24" ht="15.75">
      <c r="A50" s="95">
        <v>39</v>
      </c>
      <c r="B50" s="96" t="s">
        <v>74</v>
      </c>
      <c r="C50" s="57">
        <v>904</v>
      </c>
      <c r="D50" s="58">
        <v>598</v>
      </c>
      <c r="E50" s="109">
        <v>980</v>
      </c>
      <c r="F50" s="60">
        <v>613</v>
      </c>
      <c r="G50" s="57">
        <v>1088</v>
      </c>
      <c r="H50" s="61">
        <v>1411</v>
      </c>
      <c r="I50" s="62">
        <v>1142</v>
      </c>
      <c r="J50" s="63">
        <v>1483</v>
      </c>
      <c r="K50" s="57">
        <v>1155</v>
      </c>
      <c r="L50" s="61">
        <v>1241</v>
      </c>
      <c r="M50" s="64">
        <v>1239</v>
      </c>
      <c r="N50" s="65">
        <v>1777</v>
      </c>
      <c r="O50" s="64">
        <v>1268</v>
      </c>
      <c r="P50" s="65">
        <v>918</v>
      </c>
      <c r="Q50" s="66">
        <v>1302</v>
      </c>
      <c r="R50" s="65">
        <v>1145</v>
      </c>
      <c r="S50" s="64">
        <v>1335</v>
      </c>
      <c r="T50" s="67">
        <v>1881</v>
      </c>
      <c r="U50" s="64">
        <v>1409</v>
      </c>
      <c r="V50" s="67">
        <v>2513</v>
      </c>
      <c r="W50" s="64">
        <v>1634</v>
      </c>
      <c r="X50" s="65">
        <v>1782</v>
      </c>
    </row>
    <row r="51" spans="1:24" ht="15.75">
      <c r="A51" s="95">
        <v>40</v>
      </c>
      <c r="B51" s="96" t="s">
        <v>75</v>
      </c>
      <c r="C51" s="57">
        <v>176</v>
      </c>
      <c r="D51" s="58">
        <v>192</v>
      </c>
      <c r="E51" s="109">
        <v>163</v>
      </c>
      <c r="F51" s="60">
        <v>85</v>
      </c>
      <c r="G51" s="57">
        <v>156</v>
      </c>
      <c r="H51" s="61">
        <v>209</v>
      </c>
      <c r="I51" s="62">
        <v>154</v>
      </c>
      <c r="J51" s="63">
        <v>300</v>
      </c>
      <c r="K51" s="57">
        <v>150</v>
      </c>
      <c r="L51" s="61">
        <v>254</v>
      </c>
      <c r="M51" s="64">
        <v>155</v>
      </c>
      <c r="N51" s="65">
        <v>299</v>
      </c>
      <c r="O51" s="64">
        <v>168</v>
      </c>
      <c r="P51" s="65">
        <v>215</v>
      </c>
      <c r="Q51" s="66">
        <v>173</v>
      </c>
      <c r="R51" s="65">
        <v>253</v>
      </c>
      <c r="S51" s="64">
        <v>182</v>
      </c>
      <c r="T51" s="67">
        <v>389</v>
      </c>
      <c r="U51" s="64">
        <v>177</v>
      </c>
      <c r="V51" s="67">
        <v>410</v>
      </c>
      <c r="W51" s="64">
        <v>177</v>
      </c>
      <c r="X51" s="65">
        <v>436</v>
      </c>
    </row>
    <row r="52" spans="1:24" ht="15.75">
      <c r="A52" s="95">
        <v>41</v>
      </c>
      <c r="B52" s="96" t="s">
        <v>76</v>
      </c>
      <c r="C52" s="57">
        <v>6</v>
      </c>
      <c r="D52" s="58"/>
      <c r="E52" s="109">
        <v>6</v>
      </c>
      <c r="F52" s="60"/>
      <c r="G52" s="57">
        <v>6</v>
      </c>
      <c r="H52" s="61">
        <v>0</v>
      </c>
      <c r="I52" s="62">
        <v>6</v>
      </c>
      <c r="J52" s="63">
        <v>22</v>
      </c>
      <c r="K52" s="57">
        <v>6</v>
      </c>
      <c r="L52" s="61">
        <v>26</v>
      </c>
      <c r="M52" s="73">
        <v>6</v>
      </c>
      <c r="N52" s="74">
        <v>19</v>
      </c>
      <c r="O52" s="73">
        <v>9</v>
      </c>
      <c r="P52" s="74">
        <v>6</v>
      </c>
      <c r="Q52" s="75">
        <v>7</v>
      </c>
      <c r="R52" s="74">
        <v>10</v>
      </c>
      <c r="S52" s="73">
        <v>7</v>
      </c>
      <c r="T52" s="74">
        <v>10</v>
      </c>
      <c r="U52" s="73">
        <v>7</v>
      </c>
      <c r="V52" s="132">
        <v>8</v>
      </c>
      <c r="W52" s="73">
        <v>6</v>
      </c>
      <c r="X52" s="74">
        <v>10</v>
      </c>
    </row>
    <row r="53" spans="1:24" ht="16.5" thickBot="1">
      <c r="A53" s="97">
        <v>42</v>
      </c>
      <c r="B53" s="125"/>
      <c r="C53" s="127"/>
      <c r="D53" s="102"/>
      <c r="E53" s="133"/>
      <c r="F53" s="126"/>
      <c r="G53" s="127"/>
      <c r="H53" s="128">
        <v>0</v>
      </c>
      <c r="I53" s="62"/>
      <c r="J53" s="126"/>
      <c r="K53" s="84">
        <v>0</v>
      </c>
      <c r="L53" s="128">
        <v>0</v>
      </c>
      <c r="M53" s="99"/>
      <c r="N53" s="102">
        <v>0</v>
      </c>
      <c r="O53" s="99"/>
      <c r="P53" s="102">
        <v>0</v>
      </c>
      <c r="Q53" s="103"/>
      <c r="R53" s="102"/>
      <c r="S53" s="99"/>
      <c r="T53" s="102">
        <v>0</v>
      </c>
      <c r="U53" s="99"/>
      <c r="V53" s="134">
        <v>0</v>
      </c>
      <c r="W53" s="84">
        <v>0</v>
      </c>
      <c r="X53" s="102">
        <v>0</v>
      </c>
    </row>
    <row r="54" spans="1:24" ht="16.5" thickBot="1">
      <c r="A54" s="38"/>
      <c r="B54" s="89" t="s">
        <v>77</v>
      </c>
      <c r="C54" s="129">
        <f t="shared" ref="C54:X54" si="3">SUM(C48:C53)</f>
        <v>1509</v>
      </c>
      <c r="D54" s="91">
        <f t="shared" si="3"/>
        <v>1006</v>
      </c>
      <c r="E54" s="130">
        <f t="shared" si="3"/>
        <v>1555</v>
      </c>
      <c r="F54" s="89">
        <f t="shared" si="3"/>
        <v>943</v>
      </c>
      <c r="G54" s="129">
        <f t="shared" si="3"/>
        <v>1643</v>
      </c>
      <c r="H54" s="91">
        <f t="shared" si="3"/>
        <v>2017</v>
      </c>
      <c r="I54" s="130">
        <f t="shared" si="3"/>
        <v>1697</v>
      </c>
      <c r="J54" s="89">
        <f t="shared" si="3"/>
        <v>2149</v>
      </c>
      <c r="K54" s="129">
        <f t="shared" si="3"/>
        <v>1704</v>
      </c>
      <c r="L54" s="91">
        <f t="shared" si="3"/>
        <v>1863</v>
      </c>
      <c r="M54" s="129">
        <f t="shared" si="3"/>
        <v>1800</v>
      </c>
      <c r="N54" s="91">
        <f t="shared" si="3"/>
        <v>2382</v>
      </c>
      <c r="O54" s="129">
        <f t="shared" si="3"/>
        <v>1841</v>
      </c>
      <c r="P54" s="91">
        <f t="shared" si="3"/>
        <v>1393</v>
      </c>
      <c r="Q54" s="129">
        <f t="shared" si="3"/>
        <v>1869</v>
      </c>
      <c r="R54" s="91">
        <f t="shared" si="3"/>
        <v>1741</v>
      </c>
      <c r="S54" s="129">
        <f t="shared" si="3"/>
        <v>1912</v>
      </c>
      <c r="T54" s="91">
        <f t="shared" si="3"/>
        <v>2572</v>
      </c>
      <c r="U54" s="129">
        <f t="shared" si="3"/>
        <v>1982</v>
      </c>
      <c r="V54" s="91">
        <f t="shared" si="3"/>
        <v>3526</v>
      </c>
      <c r="W54" s="40">
        <f t="shared" si="3"/>
        <v>2207</v>
      </c>
      <c r="X54" s="131">
        <f t="shared" si="3"/>
        <v>2643</v>
      </c>
    </row>
    <row r="55" spans="1:24" ht="16.5" thickBot="1">
      <c r="A55" s="135"/>
      <c r="B55" s="136" t="s">
        <v>10</v>
      </c>
      <c r="C55" s="129">
        <f t="shared" ref="C55:X55" si="4">C6+C20+C27+C47+C54</f>
        <v>14302</v>
      </c>
      <c r="D55" s="91">
        <f t="shared" si="4"/>
        <v>16350</v>
      </c>
      <c r="E55" s="130">
        <f t="shared" si="4"/>
        <v>14203</v>
      </c>
      <c r="F55" s="89">
        <f t="shared" si="4"/>
        <v>9278</v>
      </c>
      <c r="G55" s="129">
        <f t="shared" si="4"/>
        <v>14442</v>
      </c>
      <c r="H55" s="91">
        <f t="shared" si="4"/>
        <v>20443</v>
      </c>
      <c r="I55" s="130">
        <f t="shared" si="4"/>
        <v>14686</v>
      </c>
      <c r="J55" s="89">
        <f t="shared" si="4"/>
        <v>14367</v>
      </c>
      <c r="K55" s="129">
        <f t="shared" si="4"/>
        <v>14670</v>
      </c>
      <c r="L55" s="91">
        <f t="shared" si="4"/>
        <v>14028</v>
      </c>
      <c r="M55" s="129">
        <f t="shared" si="4"/>
        <v>14708</v>
      </c>
      <c r="N55" s="91">
        <f t="shared" si="4"/>
        <v>19790</v>
      </c>
      <c r="O55" s="129">
        <f t="shared" si="4"/>
        <v>14822</v>
      </c>
      <c r="P55" s="91">
        <f t="shared" si="4"/>
        <v>22164</v>
      </c>
      <c r="Q55" s="130">
        <f t="shared" si="4"/>
        <v>15098</v>
      </c>
      <c r="R55" s="91">
        <f t="shared" si="4"/>
        <v>18356</v>
      </c>
      <c r="S55" s="129">
        <f t="shared" si="4"/>
        <v>15285</v>
      </c>
      <c r="T55" s="91">
        <f t="shared" si="4"/>
        <v>25433</v>
      </c>
      <c r="U55" s="129">
        <f t="shared" si="4"/>
        <v>15599</v>
      </c>
      <c r="V55" s="91">
        <f t="shared" si="4"/>
        <v>26920</v>
      </c>
      <c r="W55" s="129">
        <f t="shared" si="4"/>
        <v>15769</v>
      </c>
      <c r="X55" s="91">
        <f t="shared" si="4"/>
        <v>26292</v>
      </c>
    </row>
  </sheetData>
  <mergeCells count="14">
    <mergeCell ref="A1:X1"/>
    <mergeCell ref="A2:X2"/>
    <mergeCell ref="A3:X3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55"/>
  <sheetViews>
    <sheetView workbookViewId="0">
      <selection sqref="A1:AU2"/>
    </sheetView>
  </sheetViews>
  <sheetFormatPr defaultRowHeight="15"/>
  <sheetData>
    <row r="1" spans="1:47" ht="18.75">
      <c r="A1" s="254" t="s">
        <v>78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</row>
    <row r="2" spans="1:47" ht="15.75" thickBot="1">
      <c r="A2" s="256" t="s">
        <v>79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</row>
    <row r="3" spans="1:47" ht="16.5" thickBot="1">
      <c r="A3" s="137" t="s">
        <v>80</v>
      </c>
      <c r="B3" s="137" t="s">
        <v>24</v>
      </c>
      <c r="C3" s="138"/>
      <c r="D3" s="243" t="s">
        <v>25</v>
      </c>
      <c r="E3" s="243"/>
      <c r="F3" s="243"/>
      <c r="G3" s="244"/>
      <c r="H3" s="242" t="s">
        <v>26</v>
      </c>
      <c r="I3" s="243"/>
      <c r="J3" s="243"/>
      <c r="K3" s="244"/>
      <c r="L3" s="242" t="s">
        <v>27</v>
      </c>
      <c r="M3" s="243"/>
      <c r="N3" s="243"/>
      <c r="O3" s="244"/>
      <c r="P3" s="242" t="s">
        <v>28</v>
      </c>
      <c r="Q3" s="243"/>
      <c r="R3" s="243"/>
      <c r="S3" s="244"/>
      <c r="T3" s="242" t="s">
        <v>29</v>
      </c>
      <c r="U3" s="243"/>
      <c r="V3" s="243"/>
      <c r="W3" s="244"/>
      <c r="X3" s="242" t="s">
        <v>30</v>
      </c>
      <c r="Y3" s="243"/>
      <c r="Z3" s="243"/>
      <c r="AA3" s="244"/>
      <c r="AB3" s="242" t="s">
        <v>31</v>
      </c>
      <c r="AC3" s="243"/>
      <c r="AD3" s="243"/>
      <c r="AE3" s="244"/>
      <c r="AF3" s="242" t="s">
        <v>32</v>
      </c>
      <c r="AG3" s="243"/>
      <c r="AH3" s="243"/>
      <c r="AI3" s="244"/>
      <c r="AJ3" s="242" t="s">
        <v>33</v>
      </c>
      <c r="AK3" s="243"/>
      <c r="AL3" s="243"/>
      <c r="AM3" s="244"/>
      <c r="AN3" s="242" t="s">
        <v>34</v>
      </c>
      <c r="AO3" s="243"/>
      <c r="AP3" s="243"/>
      <c r="AQ3" s="244"/>
      <c r="AR3" s="243" t="s">
        <v>35</v>
      </c>
      <c r="AS3" s="243"/>
      <c r="AT3" s="243"/>
      <c r="AU3" s="244"/>
    </row>
    <row r="4" spans="1:47" ht="15.75">
      <c r="A4" s="139"/>
      <c r="B4" s="139" t="s">
        <v>36</v>
      </c>
      <c r="C4" s="128"/>
      <c r="D4" s="5" t="s">
        <v>81</v>
      </c>
      <c r="E4" s="140" t="s">
        <v>81</v>
      </c>
      <c r="F4" s="6" t="s">
        <v>82</v>
      </c>
      <c r="G4" s="2"/>
      <c r="H4" s="5" t="s">
        <v>81</v>
      </c>
      <c r="I4" s="140" t="s">
        <v>81</v>
      </c>
      <c r="J4" s="6" t="s">
        <v>82</v>
      </c>
      <c r="K4" s="2"/>
      <c r="L4" s="5" t="s">
        <v>81</v>
      </c>
      <c r="M4" s="140" t="s">
        <v>81</v>
      </c>
      <c r="N4" s="6" t="s">
        <v>82</v>
      </c>
      <c r="O4" s="2"/>
      <c r="P4" s="5" t="s">
        <v>81</v>
      </c>
      <c r="Q4" s="140" t="s">
        <v>81</v>
      </c>
      <c r="R4" s="6" t="s">
        <v>82</v>
      </c>
      <c r="S4" s="2"/>
      <c r="T4" s="5" t="s">
        <v>81</v>
      </c>
      <c r="U4" s="140" t="s">
        <v>81</v>
      </c>
      <c r="V4" s="6" t="s">
        <v>82</v>
      </c>
      <c r="W4" s="2"/>
      <c r="X4" s="5" t="s">
        <v>81</v>
      </c>
      <c r="Y4" s="140" t="s">
        <v>81</v>
      </c>
      <c r="Z4" s="6" t="s">
        <v>82</v>
      </c>
      <c r="AA4" s="2"/>
      <c r="AB4" s="5" t="s">
        <v>81</v>
      </c>
      <c r="AC4" s="140" t="s">
        <v>81</v>
      </c>
      <c r="AD4" s="6" t="s">
        <v>82</v>
      </c>
      <c r="AE4" s="2"/>
      <c r="AF4" s="5" t="s">
        <v>81</v>
      </c>
      <c r="AG4" s="140" t="s">
        <v>81</v>
      </c>
      <c r="AH4" s="6" t="s">
        <v>82</v>
      </c>
      <c r="AI4" s="2"/>
      <c r="AJ4" s="5" t="s">
        <v>81</v>
      </c>
      <c r="AK4" s="140" t="s">
        <v>81</v>
      </c>
      <c r="AL4" s="6" t="s">
        <v>82</v>
      </c>
      <c r="AM4" s="2"/>
      <c r="AN4" s="5" t="s">
        <v>81</v>
      </c>
      <c r="AO4" s="140" t="s">
        <v>81</v>
      </c>
      <c r="AP4" s="6" t="s">
        <v>82</v>
      </c>
      <c r="AQ4" s="2"/>
      <c r="AR4" s="5" t="s">
        <v>81</v>
      </c>
      <c r="AS4" s="140" t="s">
        <v>81</v>
      </c>
      <c r="AT4" s="6" t="s">
        <v>82</v>
      </c>
      <c r="AU4" s="2"/>
    </row>
    <row r="5" spans="1:47" ht="16.5" thickBot="1">
      <c r="A5" s="141"/>
      <c r="B5" s="141"/>
      <c r="C5" s="142"/>
      <c r="D5" s="141" t="s">
        <v>83</v>
      </c>
      <c r="E5" s="143" t="s">
        <v>84</v>
      </c>
      <c r="F5" s="144" t="s">
        <v>85</v>
      </c>
      <c r="G5" s="145" t="s">
        <v>86</v>
      </c>
      <c r="H5" s="141" t="s">
        <v>83</v>
      </c>
      <c r="I5" s="143" t="s">
        <v>84</v>
      </c>
      <c r="J5" s="144" t="s">
        <v>85</v>
      </c>
      <c r="K5" s="145" t="s">
        <v>86</v>
      </c>
      <c r="L5" s="141" t="s">
        <v>83</v>
      </c>
      <c r="M5" s="143" t="s">
        <v>84</v>
      </c>
      <c r="N5" s="144" t="s">
        <v>85</v>
      </c>
      <c r="O5" s="145" t="s">
        <v>86</v>
      </c>
      <c r="P5" s="141" t="s">
        <v>83</v>
      </c>
      <c r="Q5" s="143" t="s">
        <v>84</v>
      </c>
      <c r="R5" s="144" t="s">
        <v>85</v>
      </c>
      <c r="S5" s="145" t="s">
        <v>86</v>
      </c>
      <c r="T5" s="141" t="s">
        <v>83</v>
      </c>
      <c r="U5" s="143" t="s">
        <v>84</v>
      </c>
      <c r="V5" s="144" t="s">
        <v>85</v>
      </c>
      <c r="W5" s="145" t="s">
        <v>86</v>
      </c>
      <c r="X5" s="141" t="s">
        <v>83</v>
      </c>
      <c r="Y5" s="143" t="s">
        <v>84</v>
      </c>
      <c r="Z5" s="144" t="s">
        <v>85</v>
      </c>
      <c r="AA5" s="145" t="s">
        <v>86</v>
      </c>
      <c r="AB5" s="141" t="s">
        <v>83</v>
      </c>
      <c r="AC5" s="143" t="s">
        <v>84</v>
      </c>
      <c r="AD5" s="144" t="s">
        <v>85</v>
      </c>
      <c r="AE5" s="145" t="s">
        <v>86</v>
      </c>
      <c r="AF5" s="141" t="s">
        <v>83</v>
      </c>
      <c r="AG5" s="143" t="s">
        <v>84</v>
      </c>
      <c r="AH5" s="144" t="s">
        <v>85</v>
      </c>
      <c r="AI5" s="145" t="s">
        <v>86</v>
      </c>
      <c r="AJ5" s="141" t="s">
        <v>83</v>
      </c>
      <c r="AK5" s="143" t="s">
        <v>84</v>
      </c>
      <c r="AL5" s="144" t="s">
        <v>85</v>
      </c>
      <c r="AM5" s="145" t="s">
        <v>86</v>
      </c>
      <c r="AN5" s="141" t="s">
        <v>83</v>
      </c>
      <c r="AO5" s="143" t="s">
        <v>84</v>
      </c>
      <c r="AP5" s="144" t="s">
        <v>85</v>
      </c>
      <c r="AQ5" s="145" t="s">
        <v>86</v>
      </c>
      <c r="AR5" s="141" t="s">
        <v>83</v>
      </c>
      <c r="AS5" s="143" t="s">
        <v>84</v>
      </c>
      <c r="AT5" s="144" t="s">
        <v>85</v>
      </c>
      <c r="AU5" s="145" t="s">
        <v>86</v>
      </c>
    </row>
    <row r="6" spans="1:47" ht="16.5" thickBot="1">
      <c r="A6" s="146">
        <v>1</v>
      </c>
      <c r="B6" s="135" t="s">
        <v>5</v>
      </c>
      <c r="C6" s="20"/>
      <c r="D6" s="147">
        <f>16416+4800+9200+2000</f>
        <v>32416</v>
      </c>
      <c r="E6" s="148">
        <f>33500+14999+2900</f>
        <v>51399</v>
      </c>
      <c r="F6" s="148"/>
      <c r="G6" s="148">
        <f>SUM(D6:F6)</f>
        <v>83815</v>
      </c>
      <c r="H6" s="148">
        <f>300+10255</f>
        <v>10555</v>
      </c>
      <c r="I6" s="148">
        <f>5408+2500+49185</f>
        <v>57093</v>
      </c>
      <c r="J6" s="148"/>
      <c r="K6" s="148">
        <f>SUM(H6:J6)</f>
        <v>67648</v>
      </c>
      <c r="L6" s="148">
        <f>10313+5121</f>
        <v>15434</v>
      </c>
      <c r="M6" s="148">
        <f>18200+18890</f>
        <v>37090</v>
      </c>
      <c r="N6" s="148"/>
      <c r="O6" s="148">
        <f>SUM(L6:N6)</f>
        <v>52524</v>
      </c>
      <c r="P6" s="148">
        <f>200+4826+4690+7425</f>
        <v>17141</v>
      </c>
      <c r="Q6" s="148">
        <f>100+200+17780</f>
        <v>18080</v>
      </c>
      <c r="R6" s="148"/>
      <c r="S6" s="148">
        <f>SUM(P6:R6)</f>
        <v>35221</v>
      </c>
      <c r="T6" s="148">
        <f>360+3327+24100</f>
        <v>27787</v>
      </c>
      <c r="U6" s="148">
        <f>5400+6374+28555</f>
        <v>40329</v>
      </c>
      <c r="V6" s="148"/>
      <c r="W6" s="148">
        <f>SUM(T6:V6)</f>
        <v>68116</v>
      </c>
      <c r="X6" s="148">
        <f>1200+4840+4621+11170</f>
        <v>21831</v>
      </c>
      <c r="Y6" s="148">
        <f>200+4309</f>
        <v>4509</v>
      </c>
      <c r="Z6" s="148"/>
      <c r="AA6" s="148">
        <f>SUM(X6:Z6)</f>
        <v>26340</v>
      </c>
      <c r="AB6" s="148">
        <f>1890+2610+8835</f>
        <v>13335</v>
      </c>
      <c r="AC6" s="148">
        <f>26366+9882+56490</f>
        <v>92738</v>
      </c>
      <c r="AD6" s="148">
        <v>778</v>
      </c>
      <c r="AE6" s="148">
        <f>SUM(AB6:AD6)</f>
        <v>106851</v>
      </c>
      <c r="AF6" s="148">
        <f>1845+1093</f>
        <v>2938</v>
      </c>
      <c r="AG6" s="148">
        <f>1845+7675</f>
        <v>9520</v>
      </c>
      <c r="AH6" s="148"/>
      <c r="AI6" s="148">
        <f>SUM(AF6:AH6)</f>
        <v>12458</v>
      </c>
      <c r="AJ6" s="148">
        <f>200+3035</f>
        <v>3235</v>
      </c>
      <c r="AK6" s="148">
        <f>600+28800+6815</f>
        <v>36215</v>
      </c>
      <c r="AL6" s="148"/>
      <c r="AM6" s="148">
        <f>SUM(AJ6:AL6)</f>
        <v>39450</v>
      </c>
      <c r="AN6" s="148">
        <f>130+2052</f>
        <v>2182</v>
      </c>
      <c r="AO6" s="148">
        <f>5720+50700+13000</f>
        <v>69420</v>
      </c>
      <c r="AP6" s="148"/>
      <c r="AQ6" s="148">
        <f>SUM(AN6:AP6)</f>
        <v>71602</v>
      </c>
      <c r="AR6" s="147">
        <f>412+6558+1718</f>
        <v>8688</v>
      </c>
      <c r="AS6" s="148">
        <f>37550+17000+31000</f>
        <v>85550</v>
      </c>
      <c r="AT6" s="148">
        <v>0</v>
      </c>
      <c r="AU6" s="148">
        <f>SUM(AR6:AT6)</f>
        <v>94238</v>
      </c>
    </row>
    <row r="7" spans="1:47" ht="15.75">
      <c r="A7" s="92">
        <v>2</v>
      </c>
      <c r="B7" s="149" t="s">
        <v>37</v>
      </c>
      <c r="C7" s="150"/>
      <c r="D7" s="151">
        <f>2600+538</f>
        <v>3138</v>
      </c>
      <c r="E7" s="152">
        <f>2655+1000</f>
        <v>3655</v>
      </c>
      <c r="F7" s="152"/>
      <c r="G7" s="153">
        <f>SUM(D7:F7)</f>
        <v>6793</v>
      </c>
      <c r="H7" s="152">
        <v>1425</v>
      </c>
      <c r="I7" s="152">
        <v>940</v>
      </c>
      <c r="J7" s="152"/>
      <c r="K7" s="153">
        <f>SUM(H7:J7)</f>
        <v>2365</v>
      </c>
      <c r="L7" s="152">
        <f>1879+450</f>
        <v>2329</v>
      </c>
      <c r="M7" s="152">
        <f>500+200</f>
        <v>700</v>
      </c>
      <c r="N7" s="152"/>
      <c r="O7" s="153">
        <f>SUM(L7:N7)</f>
        <v>3029</v>
      </c>
      <c r="P7" s="152">
        <f>1711+2040</f>
        <v>3751</v>
      </c>
      <c r="Q7" s="152">
        <v>4150</v>
      </c>
      <c r="R7" s="152"/>
      <c r="S7" s="153">
        <f>SUM(P7:R7)</f>
        <v>7901</v>
      </c>
      <c r="T7" s="152">
        <f>8455+822</f>
        <v>9277</v>
      </c>
      <c r="U7" s="152">
        <v>6000</v>
      </c>
      <c r="V7" s="152"/>
      <c r="W7" s="153">
        <f>SUM(T7:V7)</f>
        <v>15277</v>
      </c>
      <c r="X7" s="152">
        <f>2952+200</f>
        <v>3152</v>
      </c>
      <c r="Y7" s="152">
        <v>0</v>
      </c>
      <c r="Z7" s="152"/>
      <c r="AA7" s="153">
        <f>SUM(X7:Z7)</f>
        <v>3152</v>
      </c>
      <c r="AB7" s="152">
        <f>3459+25</f>
        <v>3484</v>
      </c>
      <c r="AC7" s="152">
        <f>1591+6960</f>
        <v>8551</v>
      </c>
      <c r="AD7" s="152">
        <v>400</v>
      </c>
      <c r="AE7" s="153">
        <f>SUM(AB7:AD7)</f>
        <v>12435</v>
      </c>
      <c r="AF7" s="152">
        <v>2120</v>
      </c>
      <c r="AG7" s="152">
        <f>16445+6068</f>
        <v>22513</v>
      </c>
      <c r="AH7" s="152"/>
      <c r="AI7" s="153">
        <f>SUM(AF7:AH7)</f>
        <v>24633</v>
      </c>
      <c r="AJ7" s="152">
        <v>1420</v>
      </c>
      <c r="AK7" s="152">
        <f>6580+3790</f>
        <v>10370</v>
      </c>
      <c r="AL7" s="152"/>
      <c r="AM7" s="153">
        <f>SUM(AJ7:AL7)</f>
        <v>11790</v>
      </c>
      <c r="AN7" s="152">
        <f>2394+400</f>
        <v>2794</v>
      </c>
      <c r="AO7" s="152">
        <f>7806+1000</f>
        <v>8806</v>
      </c>
      <c r="AP7" s="152"/>
      <c r="AQ7" s="153">
        <f>SUM(AN7:AP7)</f>
        <v>11600</v>
      </c>
      <c r="AR7" s="151">
        <v>438</v>
      </c>
      <c r="AS7" s="152">
        <f>22850+500</f>
        <v>23350</v>
      </c>
      <c r="AT7" s="152">
        <v>0</v>
      </c>
      <c r="AU7" s="153">
        <f>SUM(AR7:AT7)</f>
        <v>23788</v>
      </c>
    </row>
    <row r="8" spans="1:47" ht="15.75">
      <c r="A8" s="95">
        <v>3</v>
      </c>
      <c r="B8" s="154" t="s">
        <v>38</v>
      </c>
      <c r="C8" s="112"/>
      <c r="D8" s="111">
        <f>2770+2708</f>
        <v>5478</v>
      </c>
      <c r="E8" s="113">
        <f>1000+1200</f>
        <v>2200</v>
      </c>
      <c r="F8" s="113"/>
      <c r="G8" s="155">
        <f>SUM(D8:F8)</f>
        <v>7678</v>
      </c>
      <c r="H8" s="113">
        <f>7925+1265</f>
        <v>9190</v>
      </c>
      <c r="I8" s="113">
        <v>5600</v>
      </c>
      <c r="J8" s="113"/>
      <c r="K8" s="155">
        <f>SUM(H8:J8)</f>
        <v>14790</v>
      </c>
      <c r="L8" s="113">
        <f>7951+385</f>
        <v>8336</v>
      </c>
      <c r="M8" s="113">
        <f>200+250</f>
        <v>450</v>
      </c>
      <c r="N8" s="113"/>
      <c r="O8" s="155">
        <f>SUM(L8:N8)</f>
        <v>8786</v>
      </c>
      <c r="P8" s="113">
        <f>4797+1200</f>
        <v>5997</v>
      </c>
      <c r="Q8" s="113">
        <v>6670</v>
      </c>
      <c r="R8" s="113"/>
      <c r="S8" s="155">
        <f>SUM(P8:R8)</f>
        <v>12667</v>
      </c>
      <c r="T8" s="113">
        <f>12700+908</f>
        <v>13608</v>
      </c>
      <c r="U8" s="113">
        <v>7300</v>
      </c>
      <c r="V8" s="113"/>
      <c r="W8" s="155">
        <f>SUM(T8:V8)</f>
        <v>20908</v>
      </c>
      <c r="X8" s="113">
        <f>4130+1855</f>
        <v>5985</v>
      </c>
      <c r="Y8" s="113">
        <v>350</v>
      </c>
      <c r="Z8" s="113"/>
      <c r="AA8" s="155">
        <f>SUM(X8:Z8)</f>
        <v>6335</v>
      </c>
      <c r="AB8" s="113">
        <f>4100+1500</f>
        <v>5600</v>
      </c>
      <c r="AC8" s="113">
        <f>1600+14520</f>
        <v>16120</v>
      </c>
      <c r="AD8" s="113">
        <v>0</v>
      </c>
      <c r="AE8" s="155">
        <f>SUM(AB8:AD8)</f>
        <v>21720</v>
      </c>
      <c r="AF8" s="113">
        <f>4450+1120</f>
        <v>5570</v>
      </c>
      <c r="AG8" s="113">
        <f>18743+5045</f>
        <v>23788</v>
      </c>
      <c r="AH8" s="113"/>
      <c r="AI8" s="155">
        <f>SUM(AF8:AH8)</f>
        <v>29358</v>
      </c>
      <c r="AJ8" s="113">
        <f>2950+375</f>
        <v>3325</v>
      </c>
      <c r="AK8" s="113">
        <f>12050+4240</f>
        <v>16290</v>
      </c>
      <c r="AL8" s="113"/>
      <c r="AM8" s="155">
        <f>SUM(AJ8:AL8)</f>
        <v>19615</v>
      </c>
      <c r="AN8" s="113">
        <f>2600+800</f>
        <v>3400</v>
      </c>
      <c r="AO8" s="113">
        <f>6200+500</f>
        <v>6700</v>
      </c>
      <c r="AP8" s="113"/>
      <c r="AQ8" s="155">
        <f>SUM(AN8:AP8)</f>
        <v>10100</v>
      </c>
      <c r="AR8" s="111">
        <v>1376</v>
      </c>
      <c r="AS8" s="113">
        <f>2000+5316</f>
        <v>7316</v>
      </c>
      <c r="AT8" s="113">
        <v>0</v>
      </c>
      <c r="AU8" s="155">
        <f>SUM(AR8:AT8)</f>
        <v>8692</v>
      </c>
    </row>
    <row r="9" spans="1:47" ht="15.75">
      <c r="A9" s="95">
        <v>4</v>
      </c>
      <c r="B9" s="154" t="s">
        <v>39</v>
      </c>
      <c r="C9" s="112"/>
      <c r="D9" s="111">
        <f>1000+1740</f>
        <v>2740</v>
      </c>
      <c r="E9" s="113">
        <f>2565+410</f>
        <v>2975</v>
      </c>
      <c r="F9" s="113"/>
      <c r="G9" s="155">
        <f t="shared" ref="G9:G19" si="0">SUM(D9:F9)</f>
        <v>5715</v>
      </c>
      <c r="H9" s="113">
        <f>4532+655</f>
        <v>5187</v>
      </c>
      <c r="I9" s="113">
        <v>3000</v>
      </c>
      <c r="J9" s="113"/>
      <c r="K9" s="155">
        <f t="shared" ref="K9:K19" si="1">SUM(H9:J9)</f>
        <v>8187</v>
      </c>
      <c r="L9" s="113">
        <f>4658+2225</f>
        <v>6883</v>
      </c>
      <c r="M9" s="113">
        <f>300+150</f>
        <v>450</v>
      </c>
      <c r="N9" s="113"/>
      <c r="O9" s="155">
        <f t="shared" ref="O9:O19" si="2">SUM(L9:N9)</f>
        <v>7333</v>
      </c>
      <c r="P9" s="113">
        <f>3425+2710</f>
        <v>6135</v>
      </c>
      <c r="Q9" s="113">
        <v>6900</v>
      </c>
      <c r="R9" s="113"/>
      <c r="S9" s="155">
        <f t="shared" ref="S9:S19" si="3">SUM(P9:R9)</f>
        <v>13035</v>
      </c>
      <c r="T9" s="113">
        <f>13520+1497</f>
        <v>15017</v>
      </c>
      <c r="U9" s="113">
        <v>1100</v>
      </c>
      <c r="V9" s="113"/>
      <c r="W9" s="155">
        <f t="shared" ref="W9:W19" si="4">SUM(T9:V9)</f>
        <v>16117</v>
      </c>
      <c r="X9" s="113">
        <f>1790+500</f>
        <v>2290</v>
      </c>
      <c r="Y9" s="113">
        <v>4300</v>
      </c>
      <c r="Z9" s="113"/>
      <c r="AA9" s="155">
        <f t="shared" ref="AA9:AA19" si="5">SUM(X9:Z9)</f>
        <v>6590</v>
      </c>
      <c r="AB9" s="113">
        <f>3940+600</f>
        <v>4540</v>
      </c>
      <c r="AC9" s="113">
        <f>4890</f>
        <v>4890</v>
      </c>
      <c r="AD9" s="113">
        <v>150</v>
      </c>
      <c r="AE9" s="155">
        <f t="shared" ref="AE9:AE19" si="6">SUM(AB9:AD9)</f>
        <v>9580</v>
      </c>
      <c r="AF9" s="113">
        <v>900</v>
      </c>
      <c r="AG9" s="113">
        <f>10061+3693</f>
        <v>13754</v>
      </c>
      <c r="AH9" s="113"/>
      <c r="AI9" s="155">
        <f t="shared" ref="AI9:AI19" si="7">SUM(AF9:AH9)</f>
        <v>14654</v>
      </c>
      <c r="AJ9" s="113">
        <v>753</v>
      </c>
      <c r="AK9" s="113">
        <f>247+2454</f>
        <v>2701</v>
      </c>
      <c r="AL9" s="113"/>
      <c r="AM9" s="155">
        <f t="shared" ref="AM9:AM19" si="8">SUM(AJ9:AL9)</f>
        <v>3454</v>
      </c>
      <c r="AN9" s="113">
        <f>1100+550</f>
        <v>1650</v>
      </c>
      <c r="AO9" s="113">
        <f>4600+300</f>
        <v>4900</v>
      </c>
      <c r="AP9" s="113"/>
      <c r="AQ9" s="155">
        <f t="shared" ref="AQ9:AQ19" si="9">SUM(AN9:AP9)</f>
        <v>6550</v>
      </c>
      <c r="AR9" s="111">
        <v>750</v>
      </c>
      <c r="AS9" s="113">
        <v>365</v>
      </c>
      <c r="AT9" s="113">
        <v>0</v>
      </c>
      <c r="AU9" s="155">
        <f t="shared" ref="AU9:AU19" si="10">SUM(AR9:AT9)</f>
        <v>1115</v>
      </c>
    </row>
    <row r="10" spans="1:47" ht="15.75">
      <c r="A10" s="95">
        <v>5</v>
      </c>
      <c r="B10" s="154" t="s">
        <v>40</v>
      </c>
      <c r="C10" s="112"/>
      <c r="D10" s="111">
        <f>210</f>
        <v>210</v>
      </c>
      <c r="E10" s="113">
        <f>2400+3500</f>
        <v>5900</v>
      </c>
      <c r="F10" s="113"/>
      <c r="G10" s="155">
        <f t="shared" si="0"/>
        <v>6110</v>
      </c>
      <c r="H10" s="113">
        <v>1100</v>
      </c>
      <c r="I10" s="113">
        <v>4310</v>
      </c>
      <c r="J10" s="113"/>
      <c r="K10" s="155">
        <f t="shared" si="1"/>
        <v>5410</v>
      </c>
      <c r="L10" s="113">
        <v>500</v>
      </c>
      <c r="M10" s="113"/>
      <c r="N10" s="113"/>
      <c r="O10" s="155">
        <f t="shared" si="2"/>
        <v>500</v>
      </c>
      <c r="P10" s="113">
        <f>200+650</f>
        <v>850</v>
      </c>
      <c r="Q10" s="113">
        <v>550</v>
      </c>
      <c r="R10" s="113"/>
      <c r="S10" s="155">
        <f t="shared" si="3"/>
        <v>1400</v>
      </c>
      <c r="T10" s="113">
        <v>0</v>
      </c>
      <c r="U10" s="113">
        <v>0</v>
      </c>
      <c r="V10" s="113"/>
      <c r="W10" s="155">
        <f t="shared" si="4"/>
        <v>0</v>
      </c>
      <c r="X10" s="113">
        <v>300</v>
      </c>
      <c r="Y10" s="113">
        <v>0</v>
      </c>
      <c r="Z10" s="113"/>
      <c r="AA10" s="155">
        <f t="shared" si="5"/>
        <v>300</v>
      </c>
      <c r="AB10" s="113">
        <v>200</v>
      </c>
      <c r="AC10" s="113">
        <v>0</v>
      </c>
      <c r="AD10" s="113"/>
      <c r="AE10" s="155">
        <f t="shared" si="6"/>
        <v>200</v>
      </c>
      <c r="AF10" s="113">
        <v>0</v>
      </c>
      <c r="AG10" s="113">
        <v>600</v>
      </c>
      <c r="AH10" s="113"/>
      <c r="AI10" s="155">
        <f t="shared" si="7"/>
        <v>600</v>
      </c>
      <c r="AJ10" s="113"/>
      <c r="AK10" s="113">
        <v>640</v>
      </c>
      <c r="AL10" s="113"/>
      <c r="AM10" s="155">
        <f t="shared" si="8"/>
        <v>640</v>
      </c>
      <c r="AN10" s="113"/>
      <c r="AO10" s="113"/>
      <c r="AP10" s="113"/>
      <c r="AQ10" s="155">
        <f t="shared" si="9"/>
        <v>0</v>
      </c>
      <c r="AR10" s="111">
        <f>160+740</f>
        <v>900</v>
      </c>
      <c r="AS10" s="113">
        <v>500</v>
      </c>
      <c r="AT10" s="113">
        <v>0</v>
      </c>
      <c r="AU10" s="155">
        <f t="shared" si="10"/>
        <v>1400</v>
      </c>
    </row>
    <row r="11" spans="1:47" ht="15.75">
      <c r="A11" s="156">
        <v>6</v>
      </c>
      <c r="B11" s="154" t="s">
        <v>41</v>
      </c>
      <c r="C11" s="112"/>
      <c r="D11" s="111"/>
      <c r="E11" s="113"/>
      <c r="F11" s="113"/>
      <c r="G11" s="155">
        <f t="shared" si="0"/>
        <v>0</v>
      </c>
      <c r="H11" s="113"/>
      <c r="I11" s="113">
        <f>0</f>
        <v>0</v>
      </c>
      <c r="J11" s="113"/>
      <c r="K11" s="155">
        <f t="shared" si="1"/>
        <v>0</v>
      </c>
      <c r="L11" s="113"/>
      <c r="M11" s="113"/>
      <c r="N11" s="113"/>
      <c r="O11" s="155">
        <f t="shared" si="2"/>
        <v>0</v>
      </c>
      <c r="P11" s="113">
        <v>0</v>
      </c>
      <c r="Q11" s="113">
        <v>0</v>
      </c>
      <c r="R11" s="113"/>
      <c r="S11" s="155">
        <f t="shared" si="3"/>
        <v>0</v>
      </c>
      <c r="T11" s="113">
        <v>0</v>
      </c>
      <c r="U11" s="113">
        <v>0</v>
      </c>
      <c r="V11" s="113"/>
      <c r="W11" s="155">
        <f t="shared" si="4"/>
        <v>0</v>
      </c>
      <c r="X11" s="113">
        <v>0</v>
      </c>
      <c r="Y11" s="113">
        <v>0</v>
      </c>
      <c r="Z11" s="113"/>
      <c r="AA11" s="155">
        <f t="shared" si="5"/>
        <v>0</v>
      </c>
      <c r="AB11" s="113">
        <v>0</v>
      </c>
      <c r="AC11" s="113">
        <v>0</v>
      </c>
      <c r="AD11" s="113"/>
      <c r="AE11" s="155">
        <f t="shared" si="6"/>
        <v>0</v>
      </c>
      <c r="AF11" s="113">
        <v>0</v>
      </c>
      <c r="AG11" s="113">
        <v>0</v>
      </c>
      <c r="AH11" s="113"/>
      <c r="AI11" s="155">
        <f t="shared" si="7"/>
        <v>0</v>
      </c>
      <c r="AJ11" s="113"/>
      <c r="AK11" s="113"/>
      <c r="AL11" s="113"/>
      <c r="AM11" s="155">
        <f t="shared" si="8"/>
        <v>0</v>
      </c>
      <c r="AN11" s="113"/>
      <c r="AO11" s="113"/>
      <c r="AP11" s="113"/>
      <c r="AQ11" s="155">
        <f t="shared" si="9"/>
        <v>0</v>
      </c>
      <c r="AR11" s="111"/>
      <c r="AS11" s="113"/>
      <c r="AT11" s="113">
        <v>0</v>
      </c>
      <c r="AU11" s="155">
        <f t="shared" si="10"/>
        <v>0</v>
      </c>
    </row>
    <row r="12" spans="1:47" ht="15.75">
      <c r="A12" s="95">
        <v>7</v>
      </c>
      <c r="B12" s="154" t="s">
        <v>42</v>
      </c>
      <c r="C12" s="112"/>
      <c r="D12" s="111"/>
      <c r="E12" s="113"/>
      <c r="F12" s="113"/>
      <c r="G12" s="155">
        <f t="shared" si="0"/>
        <v>0</v>
      </c>
      <c r="H12" s="113"/>
      <c r="I12" s="113">
        <v>0</v>
      </c>
      <c r="J12" s="113"/>
      <c r="K12" s="155">
        <f t="shared" si="1"/>
        <v>0</v>
      </c>
      <c r="L12" s="113"/>
      <c r="M12" s="113"/>
      <c r="N12" s="113"/>
      <c r="O12" s="155">
        <f t="shared" si="2"/>
        <v>0</v>
      </c>
      <c r="P12" s="113">
        <v>0</v>
      </c>
      <c r="Q12" s="113">
        <v>0</v>
      </c>
      <c r="R12" s="113"/>
      <c r="S12" s="155">
        <f t="shared" si="3"/>
        <v>0</v>
      </c>
      <c r="T12" s="113">
        <v>2000</v>
      </c>
      <c r="U12" s="113">
        <v>0</v>
      </c>
      <c r="V12" s="113"/>
      <c r="W12" s="155">
        <f t="shared" si="4"/>
        <v>2000</v>
      </c>
      <c r="X12" s="113">
        <v>0</v>
      </c>
      <c r="Y12" s="113">
        <v>312</v>
      </c>
      <c r="Z12" s="113"/>
      <c r="AA12" s="155">
        <f t="shared" si="5"/>
        <v>312</v>
      </c>
      <c r="AB12" s="113">
        <v>0</v>
      </c>
      <c r="AC12" s="113">
        <v>0</v>
      </c>
      <c r="AD12" s="113"/>
      <c r="AE12" s="155">
        <f t="shared" si="6"/>
        <v>0</v>
      </c>
      <c r="AF12" s="113">
        <v>0</v>
      </c>
      <c r="AG12" s="113">
        <f>5000+2075</f>
        <v>7075</v>
      </c>
      <c r="AH12" s="113"/>
      <c r="AI12" s="155">
        <f t="shared" si="7"/>
        <v>7075</v>
      </c>
      <c r="AJ12" s="113"/>
      <c r="AK12" s="113">
        <v>2795</v>
      </c>
      <c r="AL12" s="113"/>
      <c r="AM12" s="155">
        <f t="shared" si="8"/>
        <v>2795</v>
      </c>
      <c r="AN12" s="113"/>
      <c r="AO12" s="113"/>
      <c r="AP12" s="113"/>
      <c r="AQ12" s="155">
        <f t="shared" si="9"/>
        <v>0</v>
      </c>
      <c r="AR12" s="111"/>
      <c r="AS12" s="113">
        <f>5100+500</f>
        <v>5600</v>
      </c>
      <c r="AT12" s="113">
        <v>0</v>
      </c>
      <c r="AU12" s="155">
        <f t="shared" si="10"/>
        <v>5600</v>
      </c>
    </row>
    <row r="13" spans="1:47" ht="15.75">
      <c r="A13" s="92">
        <v>8</v>
      </c>
      <c r="B13" s="154" t="s">
        <v>43</v>
      </c>
      <c r="C13" s="112"/>
      <c r="D13" s="111">
        <f>4948+2764</f>
        <v>7712</v>
      </c>
      <c r="E13" s="113">
        <f>10600+9840</f>
        <v>20440</v>
      </c>
      <c r="F13" s="113">
        <v>4400</v>
      </c>
      <c r="G13" s="155">
        <f t="shared" si="0"/>
        <v>32552</v>
      </c>
      <c r="H13" s="113">
        <f>7800+1047</f>
        <v>8847</v>
      </c>
      <c r="I13" s="113">
        <f>1250+25172</f>
        <v>26422</v>
      </c>
      <c r="J13" s="113"/>
      <c r="K13" s="155">
        <f t="shared" si="1"/>
        <v>35269</v>
      </c>
      <c r="L13" s="113">
        <f>3840+5505</f>
        <v>9345</v>
      </c>
      <c r="M13" s="113">
        <f>830+12631</f>
        <v>13461</v>
      </c>
      <c r="N13" s="113"/>
      <c r="O13" s="155">
        <f t="shared" si="2"/>
        <v>22806</v>
      </c>
      <c r="P13" s="113">
        <f>5350+9141</f>
        <v>14491</v>
      </c>
      <c r="Q13" s="113">
        <v>11178</v>
      </c>
      <c r="R13" s="113"/>
      <c r="S13" s="155">
        <f t="shared" si="3"/>
        <v>25669</v>
      </c>
      <c r="T13" s="113">
        <f>9000+7233</f>
        <v>16233</v>
      </c>
      <c r="U13" s="113">
        <v>13167</v>
      </c>
      <c r="V13" s="113"/>
      <c r="W13" s="155">
        <f t="shared" si="4"/>
        <v>29400</v>
      </c>
      <c r="X13" s="113">
        <f>1050+800</f>
        <v>1850</v>
      </c>
      <c r="Y13" s="113">
        <v>13487</v>
      </c>
      <c r="Z13" s="113"/>
      <c r="AA13" s="155">
        <f t="shared" si="5"/>
        <v>15337</v>
      </c>
      <c r="AB13" s="113">
        <f>100+4209</f>
        <v>4309</v>
      </c>
      <c r="AC13" s="113">
        <v>6340</v>
      </c>
      <c r="AD13" s="113"/>
      <c r="AE13" s="155">
        <f t="shared" si="6"/>
        <v>10649</v>
      </c>
      <c r="AF13" s="113">
        <v>2455</v>
      </c>
      <c r="AG13" s="113">
        <f>1220+9939</f>
        <v>11159</v>
      </c>
      <c r="AH13" s="113"/>
      <c r="AI13" s="155">
        <f t="shared" si="7"/>
        <v>13614</v>
      </c>
      <c r="AJ13" s="113">
        <v>3270</v>
      </c>
      <c r="AK13" s="113">
        <f>20450+6714</f>
        <v>27164</v>
      </c>
      <c r="AL13" s="113"/>
      <c r="AM13" s="155">
        <f t="shared" si="8"/>
        <v>30434</v>
      </c>
      <c r="AN13" s="113">
        <v>1190</v>
      </c>
      <c r="AO13" s="113">
        <f>130+6129</f>
        <v>6259</v>
      </c>
      <c r="AP13" s="113"/>
      <c r="AQ13" s="155">
        <f t="shared" si="9"/>
        <v>7449</v>
      </c>
      <c r="AR13" s="111">
        <v>2097</v>
      </c>
      <c r="AS13" s="113">
        <f>3140+7714</f>
        <v>10854</v>
      </c>
      <c r="AT13" s="113">
        <v>0</v>
      </c>
      <c r="AU13" s="155">
        <f t="shared" si="10"/>
        <v>12951</v>
      </c>
    </row>
    <row r="14" spans="1:47" ht="15.75">
      <c r="A14" s="95">
        <v>9</v>
      </c>
      <c r="B14" s="154" t="s">
        <v>44</v>
      </c>
      <c r="C14" s="112"/>
      <c r="D14" s="111"/>
      <c r="E14" s="113"/>
      <c r="F14" s="113"/>
      <c r="G14" s="155">
        <f t="shared" si="0"/>
        <v>0</v>
      </c>
      <c r="H14" s="113"/>
      <c r="I14" s="113"/>
      <c r="J14" s="113"/>
      <c r="K14" s="155">
        <f t="shared" si="1"/>
        <v>0</v>
      </c>
      <c r="L14" s="113"/>
      <c r="M14" s="113"/>
      <c r="N14" s="113"/>
      <c r="O14" s="155">
        <f t="shared" si="2"/>
        <v>0</v>
      </c>
      <c r="P14" s="113"/>
      <c r="Q14" s="113"/>
      <c r="R14" s="113"/>
      <c r="S14" s="155">
        <f t="shared" si="3"/>
        <v>0</v>
      </c>
      <c r="T14" s="113">
        <v>0</v>
      </c>
      <c r="U14" s="113">
        <v>0</v>
      </c>
      <c r="V14" s="113"/>
      <c r="W14" s="155">
        <f t="shared" si="4"/>
        <v>0</v>
      </c>
      <c r="X14" s="113"/>
      <c r="Y14" s="113"/>
      <c r="Z14" s="113"/>
      <c r="AA14" s="155">
        <f t="shared" si="5"/>
        <v>0</v>
      </c>
      <c r="AB14" s="113">
        <v>0</v>
      </c>
      <c r="AC14" s="113"/>
      <c r="AD14" s="113"/>
      <c r="AE14" s="155">
        <f t="shared" si="6"/>
        <v>0</v>
      </c>
      <c r="AF14" s="113"/>
      <c r="AG14" s="113">
        <v>0</v>
      </c>
      <c r="AH14" s="113"/>
      <c r="AI14" s="155">
        <f t="shared" si="7"/>
        <v>0</v>
      </c>
      <c r="AJ14" s="113"/>
      <c r="AK14" s="113"/>
      <c r="AL14" s="113"/>
      <c r="AM14" s="155">
        <f t="shared" si="8"/>
        <v>0</v>
      </c>
      <c r="AN14" s="113"/>
      <c r="AO14" s="113"/>
      <c r="AP14" s="113"/>
      <c r="AQ14" s="155">
        <f t="shared" si="9"/>
        <v>0</v>
      </c>
      <c r="AR14" s="111"/>
      <c r="AS14" s="113"/>
      <c r="AT14" s="113">
        <v>0</v>
      </c>
      <c r="AU14" s="155">
        <f t="shared" si="10"/>
        <v>0</v>
      </c>
    </row>
    <row r="15" spans="1:47" ht="15.75">
      <c r="A15" s="95">
        <v>10</v>
      </c>
      <c r="B15" s="154" t="s">
        <v>45</v>
      </c>
      <c r="C15" s="112"/>
      <c r="D15" s="111">
        <v>100</v>
      </c>
      <c r="E15" s="113"/>
      <c r="F15" s="113"/>
      <c r="G15" s="155">
        <f t="shared" si="0"/>
        <v>100</v>
      </c>
      <c r="H15" s="113"/>
      <c r="I15" s="113"/>
      <c r="J15" s="113"/>
      <c r="K15" s="155">
        <f t="shared" si="1"/>
        <v>0</v>
      </c>
      <c r="L15" s="113"/>
      <c r="M15" s="113"/>
      <c r="N15" s="113"/>
      <c r="O15" s="155">
        <f t="shared" si="2"/>
        <v>0</v>
      </c>
      <c r="P15" s="113"/>
      <c r="Q15" s="113"/>
      <c r="R15" s="113"/>
      <c r="S15" s="155">
        <f t="shared" si="3"/>
        <v>0</v>
      </c>
      <c r="T15" s="113">
        <v>0</v>
      </c>
      <c r="U15" s="113">
        <v>0</v>
      </c>
      <c r="V15" s="113"/>
      <c r="W15" s="155">
        <f t="shared" si="4"/>
        <v>0</v>
      </c>
      <c r="X15" s="113"/>
      <c r="Y15" s="113"/>
      <c r="Z15" s="113"/>
      <c r="AA15" s="155">
        <f t="shared" si="5"/>
        <v>0</v>
      </c>
      <c r="AB15" s="113">
        <v>55</v>
      </c>
      <c r="AC15" s="113"/>
      <c r="AD15" s="113"/>
      <c r="AE15" s="155">
        <f t="shared" si="6"/>
        <v>55</v>
      </c>
      <c r="AF15" s="113"/>
      <c r="AG15" s="113">
        <v>120</v>
      </c>
      <c r="AH15" s="113"/>
      <c r="AI15" s="155">
        <f t="shared" si="7"/>
        <v>120</v>
      </c>
      <c r="AJ15" s="113"/>
      <c r="AK15" s="113"/>
      <c r="AL15" s="113"/>
      <c r="AM15" s="155">
        <f t="shared" si="8"/>
        <v>0</v>
      </c>
      <c r="AN15" s="113"/>
      <c r="AO15" s="113"/>
      <c r="AP15" s="113"/>
      <c r="AQ15" s="155">
        <f t="shared" si="9"/>
        <v>0</v>
      </c>
      <c r="AR15" s="111"/>
      <c r="AS15" s="113"/>
      <c r="AT15" s="113">
        <v>0</v>
      </c>
      <c r="AU15" s="155">
        <f t="shared" si="10"/>
        <v>0</v>
      </c>
    </row>
    <row r="16" spans="1:47" ht="15.75">
      <c r="A16" s="95">
        <v>11</v>
      </c>
      <c r="B16" s="154" t="s">
        <v>46</v>
      </c>
      <c r="C16" s="112"/>
      <c r="D16" s="111"/>
      <c r="E16" s="113"/>
      <c r="F16" s="113"/>
      <c r="G16" s="155">
        <f t="shared" si="0"/>
        <v>0</v>
      </c>
      <c r="H16" s="113"/>
      <c r="I16" s="113"/>
      <c r="J16" s="113"/>
      <c r="K16" s="155">
        <f t="shared" si="1"/>
        <v>0</v>
      </c>
      <c r="L16" s="113"/>
      <c r="M16" s="113"/>
      <c r="N16" s="113"/>
      <c r="O16" s="155">
        <f t="shared" si="2"/>
        <v>0</v>
      </c>
      <c r="P16" s="113"/>
      <c r="Q16" s="113"/>
      <c r="R16" s="113"/>
      <c r="S16" s="155">
        <f t="shared" si="3"/>
        <v>0</v>
      </c>
      <c r="T16" s="113">
        <v>0</v>
      </c>
      <c r="U16" s="113">
        <v>0</v>
      </c>
      <c r="V16" s="113"/>
      <c r="W16" s="155">
        <f t="shared" si="4"/>
        <v>0</v>
      </c>
      <c r="X16" s="113"/>
      <c r="Y16" s="113"/>
      <c r="Z16" s="113"/>
      <c r="AA16" s="155">
        <f t="shared" si="5"/>
        <v>0</v>
      </c>
      <c r="AB16" s="113"/>
      <c r="AC16" s="113"/>
      <c r="AD16" s="113"/>
      <c r="AE16" s="155">
        <f t="shared" si="6"/>
        <v>0</v>
      </c>
      <c r="AF16" s="113"/>
      <c r="AG16" s="113"/>
      <c r="AH16" s="113"/>
      <c r="AI16" s="155">
        <f t="shared" si="7"/>
        <v>0</v>
      </c>
      <c r="AJ16" s="113"/>
      <c r="AK16" s="113"/>
      <c r="AL16" s="113"/>
      <c r="AM16" s="155">
        <f t="shared" si="8"/>
        <v>0</v>
      </c>
      <c r="AN16" s="113"/>
      <c r="AO16" s="113"/>
      <c r="AP16" s="113"/>
      <c r="AQ16" s="155">
        <f t="shared" si="9"/>
        <v>0</v>
      </c>
      <c r="AR16" s="111"/>
      <c r="AS16" s="113"/>
      <c r="AT16" s="113">
        <v>0</v>
      </c>
      <c r="AU16" s="155">
        <f t="shared" si="10"/>
        <v>0</v>
      </c>
    </row>
    <row r="17" spans="1:47" ht="15.75">
      <c r="A17" s="157">
        <v>12</v>
      </c>
      <c r="B17" s="158" t="s">
        <v>47</v>
      </c>
      <c r="C17" s="112"/>
      <c r="D17" s="111"/>
      <c r="E17" s="113"/>
      <c r="F17" s="113"/>
      <c r="G17" s="155">
        <f t="shared" si="0"/>
        <v>0</v>
      </c>
      <c r="H17" s="113"/>
      <c r="I17" s="113"/>
      <c r="J17" s="113"/>
      <c r="K17" s="155">
        <f t="shared" si="1"/>
        <v>0</v>
      </c>
      <c r="L17" s="113"/>
      <c r="M17" s="113"/>
      <c r="N17" s="113"/>
      <c r="O17" s="155">
        <f t="shared" si="2"/>
        <v>0</v>
      </c>
      <c r="P17" s="113"/>
      <c r="Q17" s="113"/>
      <c r="R17" s="113"/>
      <c r="S17" s="155">
        <f t="shared" si="3"/>
        <v>0</v>
      </c>
      <c r="T17" s="113">
        <v>0</v>
      </c>
      <c r="U17" s="113">
        <v>0</v>
      </c>
      <c r="V17" s="113"/>
      <c r="W17" s="155">
        <f t="shared" si="4"/>
        <v>0</v>
      </c>
      <c r="X17" s="113"/>
      <c r="Y17" s="113"/>
      <c r="Z17" s="113"/>
      <c r="AA17" s="155">
        <f t="shared" si="5"/>
        <v>0</v>
      </c>
      <c r="AB17" s="113"/>
      <c r="AC17" s="113"/>
      <c r="AD17" s="113"/>
      <c r="AE17" s="155">
        <f t="shared" si="6"/>
        <v>0</v>
      </c>
      <c r="AF17" s="113"/>
      <c r="AG17" s="113"/>
      <c r="AH17" s="113"/>
      <c r="AI17" s="155">
        <f t="shared" si="7"/>
        <v>0</v>
      </c>
      <c r="AJ17" s="113"/>
      <c r="AK17" s="113"/>
      <c r="AL17" s="113"/>
      <c r="AM17" s="155">
        <f t="shared" si="8"/>
        <v>0</v>
      </c>
      <c r="AN17" s="113"/>
      <c r="AO17" s="113"/>
      <c r="AP17" s="113"/>
      <c r="AQ17" s="155">
        <f t="shared" si="9"/>
        <v>0</v>
      </c>
      <c r="AR17" s="111"/>
      <c r="AS17" s="113"/>
      <c r="AT17" s="113">
        <v>0</v>
      </c>
      <c r="AU17" s="155">
        <f t="shared" si="10"/>
        <v>0</v>
      </c>
    </row>
    <row r="18" spans="1:47" ht="15.75">
      <c r="A18" s="157"/>
      <c r="B18" s="158" t="s">
        <v>48</v>
      </c>
      <c r="C18" s="112"/>
      <c r="D18" s="111"/>
      <c r="E18" s="113"/>
      <c r="F18" s="113"/>
      <c r="G18" s="155">
        <f t="shared" si="0"/>
        <v>0</v>
      </c>
      <c r="H18" s="113"/>
      <c r="I18" s="113"/>
      <c r="J18" s="113"/>
      <c r="K18" s="155">
        <f t="shared" si="1"/>
        <v>0</v>
      </c>
      <c r="L18" s="113"/>
      <c r="M18" s="113"/>
      <c r="N18" s="113"/>
      <c r="O18" s="155">
        <f t="shared" si="2"/>
        <v>0</v>
      </c>
      <c r="P18" s="113"/>
      <c r="Q18" s="113"/>
      <c r="R18" s="113"/>
      <c r="S18" s="155">
        <f t="shared" si="3"/>
        <v>0</v>
      </c>
      <c r="T18" s="113">
        <v>0</v>
      </c>
      <c r="U18" s="113">
        <v>0</v>
      </c>
      <c r="V18" s="113"/>
      <c r="W18" s="155">
        <f t="shared" si="4"/>
        <v>0</v>
      </c>
      <c r="X18" s="113"/>
      <c r="Y18" s="113"/>
      <c r="Z18" s="113"/>
      <c r="AA18" s="155">
        <f t="shared" si="5"/>
        <v>0</v>
      </c>
      <c r="AB18" s="113"/>
      <c r="AC18" s="113"/>
      <c r="AD18" s="113"/>
      <c r="AE18" s="155">
        <f t="shared" si="6"/>
        <v>0</v>
      </c>
      <c r="AF18" s="113"/>
      <c r="AG18" s="113"/>
      <c r="AH18" s="113"/>
      <c r="AI18" s="155">
        <f t="shared" si="7"/>
        <v>0</v>
      </c>
      <c r="AJ18" s="113"/>
      <c r="AK18" s="113"/>
      <c r="AL18" s="113"/>
      <c r="AM18" s="155">
        <f t="shared" si="8"/>
        <v>0</v>
      </c>
      <c r="AN18" s="113"/>
      <c r="AO18" s="113"/>
      <c r="AP18" s="113"/>
      <c r="AQ18" s="155">
        <f t="shared" si="9"/>
        <v>0</v>
      </c>
      <c r="AR18" s="111"/>
      <c r="AS18" s="113"/>
      <c r="AT18" s="113">
        <v>0</v>
      </c>
      <c r="AU18" s="155">
        <f t="shared" si="10"/>
        <v>0</v>
      </c>
    </row>
    <row r="19" spans="1:47" ht="16.5" thickBot="1">
      <c r="A19" s="82"/>
      <c r="B19" s="159"/>
      <c r="C19" s="142"/>
      <c r="D19" s="127"/>
      <c r="E19" s="133"/>
      <c r="F19" s="133"/>
      <c r="G19" s="155">
        <f t="shared" si="0"/>
        <v>0</v>
      </c>
      <c r="H19" s="133"/>
      <c r="I19" s="133"/>
      <c r="J19" s="133"/>
      <c r="K19" s="155">
        <f t="shared" si="1"/>
        <v>0</v>
      </c>
      <c r="L19" s="133"/>
      <c r="M19" s="133"/>
      <c r="N19" s="133"/>
      <c r="O19" s="155">
        <f t="shared" si="2"/>
        <v>0</v>
      </c>
      <c r="P19" s="133"/>
      <c r="Q19" s="133"/>
      <c r="R19" s="133"/>
      <c r="S19" s="155">
        <f t="shared" si="3"/>
        <v>0</v>
      </c>
      <c r="T19" s="133">
        <v>0</v>
      </c>
      <c r="U19" s="133">
        <v>0</v>
      </c>
      <c r="V19" s="133"/>
      <c r="W19" s="155">
        <f t="shared" si="4"/>
        <v>0</v>
      </c>
      <c r="X19" s="133"/>
      <c r="Y19" s="133"/>
      <c r="Z19" s="133"/>
      <c r="AA19" s="155">
        <f t="shared" si="5"/>
        <v>0</v>
      </c>
      <c r="AB19" s="133"/>
      <c r="AC19" s="133"/>
      <c r="AD19" s="133"/>
      <c r="AE19" s="155">
        <f t="shared" si="6"/>
        <v>0</v>
      </c>
      <c r="AF19" s="133"/>
      <c r="AG19" s="133"/>
      <c r="AH19" s="133"/>
      <c r="AI19" s="155">
        <f t="shared" si="7"/>
        <v>0</v>
      </c>
      <c r="AJ19" s="133"/>
      <c r="AK19" s="133"/>
      <c r="AL19" s="133"/>
      <c r="AM19" s="155">
        <f t="shared" si="8"/>
        <v>0</v>
      </c>
      <c r="AN19" s="133"/>
      <c r="AO19" s="133"/>
      <c r="AP19" s="133"/>
      <c r="AQ19" s="155">
        <f t="shared" si="9"/>
        <v>0</v>
      </c>
      <c r="AR19" s="127"/>
      <c r="AS19" s="133"/>
      <c r="AT19" s="133">
        <v>0</v>
      </c>
      <c r="AU19" s="155">
        <f t="shared" si="10"/>
        <v>0</v>
      </c>
    </row>
    <row r="20" spans="1:47" ht="16.5" thickBot="1">
      <c r="A20" s="38"/>
      <c r="B20" s="89" t="s">
        <v>6</v>
      </c>
      <c r="C20" s="20"/>
      <c r="D20" s="147">
        <f>SUM(D7:D19)</f>
        <v>19378</v>
      </c>
      <c r="E20" s="147">
        <f t="shared" ref="E20:AQ20" si="11">SUM(E7:E19)</f>
        <v>35170</v>
      </c>
      <c r="F20" s="147">
        <f t="shared" si="11"/>
        <v>4400</v>
      </c>
      <c r="G20" s="147">
        <f t="shared" si="11"/>
        <v>58948</v>
      </c>
      <c r="H20" s="147">
        <f t="shared" si="11"/>
        <v>25749</v>
      </c>
      <c r="I20" s="147">
        <f t="shared" si="11"/>
        <v>40272</v>
      </c>
      <c r="J20" s="147">
        <f t="shared" si="11"/>
        <v>0</v>
      </c>
      <c r="K20" s="147">
        <f t="shared" si="11"/>
        <v>66021</v>
      </c>
      <c r="L20" s="147">
        <f t="shared" si="11"/>
        <v>27393</v>
      </c>
      <c r="M20" s="147">
        <f t="shared" si="11"/>
        <v>15061</v>
      </c>
      <c r="N20" s="147">
        <f t="shared" si="11"/>
        <v>0</v>
      </c>
      <c r="O20" s="147">
        <f t="shared" si="11"/>
        <v>42454</v>
      </c>
      <c r="P20" s="147">
        <f t="shared" si="11"/>
        <v>31224</v>
      </c>
      <c r="Q20" s="147">
        <f t="shared" si="11"/>
        <v>29448</v>
      </c>
      <c r="R20" s="147">
        <f t="shared" si="11"/>
        <v>0</v>
      </c>
      <c r="S20" s="147">
        <f t="shared" si="11"/>
        <v>60672</v>
      </c>
      <c r="T20" s="147">
        <f t="shared" si="11"/>
        <v>56135</v>
      </c>
      <c r="U20" s="147">
        <f t="shared" si="11"/>
        <v>27567</v>
      </c>
      <c r="V20" s="147">
        <f t="shared" si="11"/>
        <v>0</v>
      </c>
      <c r="W20" s="147">
        <f t="shared" si="11"/>
        <v>83702</v>
      </c>
      <c r="X20" s="147">
        <f t="shared" si="11"/>
        <v>13577</v>
      </c>
      <c r="Y20" s="147">
        <f t="shared" si="11"/>
        <v>18449</v>
      </c>
      <c r="Z20" s="147">
        <f t="shared" si="11"/>
        <v>0</v>
      </c>
      <c r="AA20" s="147">
        <f t="shared" si="11"/>
        <v>32026</v>
      </c>
      <c r="AB20" s="147">
        <f t="shared" si="11"/>
        <v>18188</v>
      </c>
      <c r="AC20" s="147">
        <f t="shared" si="11"/>
        <v>35901</v>
      </c>
      <c r="AD20" s="147">
        <f t="shared" si="11"/>
        <v>550</v>
      </c>
      <c r="AE20" s="147">
        <f t="shared" si="11"/>
        <v>54639</v>
      </c>
      <c r="AF20" s="147">
        <f t="shared" si="11"/>
        <v>11045</v>
      </c>
      <c r="AG20" s="147">
        <f t="shared" si="11"/>
        <v>79009</v>
      </c>
      <c r="AH20" s="147">
        <f t="shared" si="11"/>
        <v>0</v>
      </c>
      <c r="AI20" s="147">
        <f t="shared" si="11"/>
        <v>90054</v>
      </c>
      <c r="AJ20" s="147">
        <f t="shared" si="11"/>
        <v>8768</v>
      </c>
      <c r="AK20" s="147">
        <f t="shared" si="11"/>
        <v>59960</v>
      </c>
      <c r="AL20" s="147">
        <f t="shared" si="11"/>
        <v>0</v>
      </c>
      <c r="AM20" s="147">
        <f t="shared" si="11"/>
        <v>68728</v>
      </c>
      <c r="AN20" s="147">
        <f t="shared" si="11"/>
        <v>9034</v>
      </c>
      <c r="AO20" s="147">
        <f t="shared" si="11"/>
        <v>26665</v>
      </c>
      <c r="AP20" s="147">
        <f t="shared" si="11"/>
        <v>0</v>
      </c>
      <c r="AQ20" s="147">
        <f t="shared" si="11"/>
        <v>35699</v>
      </c>
      <c r="AR20" s="147">
        <f>SUM(AR7:AR19)</f>
        <v>5561</v>
      </c>
      <c r="AS20" s="147">
        <f t="shared" ref="AS20:AU20" si="12">SUM(AS7:AS19)</f>
        <v>47985</v>
      </c>
      <c r="AT20" s="147">
        <f t="shared" si="12"/>
        <v>0</v>
      </c>
      <c r="AU20" s="147">
        <f t="shared" si="12"/>
        <v>53546</v>
      </c>
    </row>
    <row r="21" spans="1:47" ht="15.75">
      <c r="A21" s="92">
        <v>13</v>
      </c>
      <c r="B21" s="149" t="s">
        <v>49</v>
      </c>
      <c r="C21" s="150"/>
      <c r="D21" s="151">
        <v>350</v>
      </c>
      <c r="E21" s="152">
        <f>430+100</f>
        <v>530</v>
      </c>
      <c r="F21" s="152"/>
      <c r="G21" s="153">
        <f>SUM(D21:F21)</f>
        <v>880</v>
      </c>
      <c r="H21" s="152">
        <v>565</v>
      </c>
      <c r="I21" s="160"/>
      <c r="J21" s="152"/>
      <c r="K21" s="153">
        <f>SUM(H21:J21)</f>
        <v>565</v>
      </c>
      <c r="L21" s="152">
        <v>761</v>
      </c>
      <c r="M21" s="152"/>
      <c r="N21" s="152"/>
      <c r="O21" s="153">
        <f>SUM(L21:N21)</f>
        <v>761</v>
      </c>
      <c r="P21" s="152">
        <f>759</f>
        <v>759</v>
      </c>
      <c r="Q21" s="152">
        <v>0</v>
      </c>
      <c r="R21" s="152"/>
      <c r="S21" s="153">
        <f>SUM(P21:R21)</f>
        <v>759</v>
      </c>
      <c r="T21" s="152">
        <v>600</v>
      </c>
      <c r="U21" s="152">
        <v>0</v>
      </c>
      <c r="V21" s="152"/>
      <c r="W21" s="153">
        <f>SUM(T21:V21)</f>
        <v>600</v>
      </c>
      <c r="X21" s="152"/>
      <c r="Y21" s="152"/>
      <c r="Z21" s="152"/>
      <c r="AA21" s="153">
        <f>SUM(X21:Z21)</f>
        <v>0</v>
      </c>
      <c r="AB21" s="152">
        <v>300</v>
      </c>
      <c r="AC21" s="152">
        <v>1743</v>
      </c>
      <c r="AD21" s="152"/>
      <c r="AE21" s="153">
        <f>SUM(AB21:AD21)</f>
        <v>2043</v>
      </c>
      <c r="AF21" s="152"/>
      <c r="AG21" s="152">
        <v>213</v>
      </c>
      <c r="AH21" s="152"/>
      <c r="AI21" s="153">
        <f>SUM(AF21:AH21)</f>
        <v>213</v>
      </c>
      <c r="AJ21" s="152">
        <v>100</v>
      </c>
      <c r="AK21" s="152">
        <v>400</v>
      </c>
      <c r="AL21" s="152"/>
      <c r="AM21" s="153">
        <f>SUM(AJ21:AL21)</f>
        <v>500</v>
      </c>
      <c r="AN21" s="152"/>
      <c r="AO21" s="152"/>
      <c r="AP21" s="152"/>
      <c r="AQ21" s="153">
        <f>SUM(AN21:AP21)</f>
        <v>0</v>
      </c>
      <c r="AR21" s="151"/>
      <c r="AS21" s="152"/>
      <c r="AT21" s="152"/>
      <c r="AU21" s="153">
        <f>SUM(AR21:AT21)</f>
        <v>0</v>
      </c>
    </row>
    <row r="22" spans="1:47" ht="15.75">
      <c r="A22" s="95">
        <v>14</v>
      </c>
      <c r="B22" s="154" t="s">
        <v>50</v>
      </c>
      <c r="C22" s="112"/>
      <c r="D22" s="111">
        <v>1851</v>
      </c>
      <c r="E22" s="113">
        <v>240</v>
      </c>
      <c r="F22" s="113"/>
      <c r="G22" s="155">
        <f>SUM(D22:F22)</f>
        <v>2091</v>
      </c>
      <c r="H22" s="113"/>
      <c r="I22" s="114">
        <v>7300</v>
      </c>
      <c r="J22" s="113"/>
      <c r="K22" s="155">
        <f>SUM(H22:J22)</f>
        <v>7300</v>
      </c>
      <c r="L22" s="113">
        <v>400</v>
      </c>
      <c r="M22" s="113">
        <v>600</v>
      </c>
      <c r="N22" s="113"/>
      <c r="O22" s="155">
        <f>SUM(L22:N22)</f>
        <v>1000</v>
      </c>
      <c r="P22" s="113">
        <v>0</v>
      </c>
      <c r="Q22" s="113">
        <v>500</v>
      </c>
      <c r="R22" s="113"/>
      <c r="S22" s="155">
        <f>SUM(P22:R22)</f>
        <v>500</v>
      </c>
      <c r="T22" s="113">
        <v>100</v>
      </c>
      <c r="U22" s="113">
        <v>500</v>
      </c>
      <c r="V22" s="113"/>
      <c r="W22" s="155">
        <f>SUM(T22:V22)</f>
        <v>600</v>
      </c>
      <c r="X22" s="113">
        <v>400</v>
      </c>
      <c r="Y22" s="113"/>
      <c r="Z22" s="113"/>
      <c r="AA22" s="155">
        <f>SUM(X22:Z22)</f>
        <v>400</v>
      </c>
      <c r="AB22" s="113">
        <f>50+770</f>
        <v>820</v>
      </c>
      <c r="AC22" s="113">
        <v>2860</v>
      </c>
      <c r="AD22" s="113"/>
      <c r="AE22" s="155">
        <f>SUM(AB22:AD22)</f>
        <v>3680</v>
      </c>
      <c r="AF22" s="113">
        <f>2450+1100</f>
        <v>3550</v>
      </c>
      <c r="AG22" s="113">
        <v>1757</v>
      </c>
      <c r="AH22" s="113"/>
      <c r="AI22" s="155">
        <f>SUM(AF22:AH22)</f>
        <v>5307</v>
      </c>
      <c r="AJ22" s="113">
        <v>1300</v>
      </c>
      <c r="AK22" s="113">
        <f>1200+2790</f>
        <v>3990</v>
      </c>
      <c r="AL22" s="113"/>
      <c r="AM22" s="155">
        <f>SUM(AJ22:AL22)</f>
        <v>5290</v>
      </c>
      <c r="AN22" s="113"/>
      <c r="AO22" s="113"/>
      <c r="AP22" s="113"/>
      <c r="AQ22" s="155">
        <f>SUM(AN22:AP22)</f>
        <v>0</v>
      </c>
      <c r="AR22" s="111">
        <f>54+39</f>
        <v>93</v>
      </c>
      <c r="AS22" s="113">
        <v>200</v>
      </c>
      <c r="AT22" s="113"/>
      <c r="AU22" s="155">
        <f>SUM(AR22:AT22)</f>
        <v>293</v>
      </c>
    </row>
    <row r="23" spans="1:47" ht="15.75">
      <c r="A23" s="95">
        <v>15</v>
      </c>
      <c r="B23" s="154" t="s">
        <v>51</v>
      </c>
      <c r="C23" s="112"/>
      <c r="D23" s="111"/>
      <c r="E23" s="113"/>
      <c r="F23" s="113"/>
      <c r="G23" s="155">
        <f t="shared" ref="G23:G26" si="13">SUM(D23:F23)</f>
        <v>0</v>
      </c>
      <c r="H23" s="113"/>
      <c r="I23" s="114"/>
      <c r="J23" s="113"/>
      <c r="K23" s="155">
        <f t="shared" ref="K23:K26" si="14">SUM(H23:J23)</f>
        <v>0</v>
      </c>
      <c r="L23" s="113">
        <v>40</v>
      </c>
      <c r="M23" s="113"/>
      <c r="N23" s="113"/>
      <c r="O23" s="155">
        <f t="shared" ref="O23:O26" si="15">SUM(L23:N23)</f>
        <v>40</v>
      </c>
      <c r="P23" s="113">
        <v>400</v>
      </c>
      <c r="Q23" s="113"/>
      <c r="R23" s="113"/>
      <c r="S23" s="155">
        <f t="shared" ref="S23:S26" si="16">SUM(P23:R23)</f>
        <v>400</v>
      </c>
      <c r="T23" s="113"/>
      <c r="U23" s="113"/>
      <c r="V23" s="113"/>
      <c r="W23" s="155">
        <f t="shared" ref="W23:W26" si="17">SUM(T23:V23)</f>
        <v>0</v>
      </c>
      <c r="X23" s="113"/>
      <c r="Y23" s="113"/>
      <c r="Z23" s="113"/>
      <c r="AA23" s="155">
        <f t="shared" ref="AA23:AA26" si="18">SUM(X23:Z23)</f>
        <v>0</v>
      </c>
      <c r="AB23" s="113"/>
      <c r="AC23" s="113"/>
      <c r="AD23" s="113"/>
      <c r="AE23" s="155">
        <f t="shared" ref="AE23:AE26" si="19">SUM(AB23:AD23)</f>
        <v>0</v>
      </c>
      <c r="AF23" s="113"/>
      <c r="AG23" s="113"/>
      <c r="AH23" s="113"/>
      <c r="AI23" s="155">
        <f t="shared" ref="AI23:AI26" si="20">SUM(AF23:AH23)</f>
        <v>0</v>
      </c>
      <c r="AJ23" s="113"/>
      <c r="AK23" s="113"/>
      <c r="AL23" s="113"/>
      <c r="AM23" s="155">
        <f t="shared" ref="AM23:AM26" si="21">SUM(AJ23:AL23)</f>
        <v>0</v>
      </c>
      <c r="AN23" s="113"/>
      <c r="AO23" s="113"/>
      <c r="AP23" s="113"/>
      <c r="AQ23" s="155">
        <f t="shared" ref="AQ23:AQ26" si="22">SUM(AN23:AP23)</f>
        <v>0</v>
      </c>
      <c r="AR23" s="111"/>
      <c r="AS23" s="113"/>
      <c r="AT23" s="113"/>
      <c r="AU23" s="155">
        <f t="shared" ref="AU23:AU26" si="23">SUM(AR23:AT23)</f>
        <v>0</v>
      </c>
    </row>
    <row r="24" spans="1:47" ht="15.75">
      <c r="A24" s="95">
        <v>16</v>
      </c>
      <c r="B24" s="154" t="s">
        <v>52</v>
      </c>
      <c r="C24" s="112"/>
      <c r="D24" s="111"/>
      <c r="E24" s="113"/>
      <c r="F24" s="113"/>
      <c r="G24" s="155">
        <f t="shared" si="13"/>
        <v>0</v>
      </c>
      <c r="H24" s="113"/>
      <c r="I24" s="114"/>
      <c r="J24" s="113"/>
      <c r="K24" s="155">
        <f t="shared" si="14"/>
        <v>0</v>
      </c>
      <c r="L24" s="113"/>
      <c r="M24" s="113"/>
      <c r="N24" s="113"/>
      <c r="O24" s="155">
        <f t="shared" si="15"/>
        <v>0</v>
      </c>
      <c r="P24" s="113"/>
      <c r="Q24" s="113"/>
      <c r="R24" s="113"/>
      <c r="S24" s="155">
        <f t="shared" si="16"/>
        <v>0</v>
      </c>
      <c r="T24" s="113"/>
      <c r="U24" s="113"/>
      <c r="V24" s="113"/>
      <c r="W24" s="155">
        <f t="shared" si="17"/>
        <v>0</v>
      </c>
      <c r="X24" s="113"/>
      <c r="Y24" s="113"/>
      <c r="Z24" s="113"/>
      <c r="AA24" s="155">
        <f t="shared" si="18"/>
        <v>0</v>
      </c>
      <c r="AB24" s="113"/>
      <c r="AC24" s="113"/>
      <c r="AD24" s="113"/>
      <c r="AE24" s="155">
        <f t="shared" si="19"/>
        <v>0</v>
      </c>
      <c r="AF24" s="113"/>
      <c r="AG24" s="113"/>
      <c r="AH24" s="113"/>
      <c r="AI24" s="155">
        <f t="shared" si="20"/>
        <v>0</v>
      </c>
      <c r="AJ24" s="113"/>
      <c r="AK24" s="113"/>
      <c r="AL24" s="113"/>
      <c r="AM24" s="155">
        <f t="shared" si="21"/>
        <v>0</v>
      </c>
      <c r="AN24" s="113"/>
      <c r="AO24" s="113"/>
      <c r="AP24" s="113"/>
      <c r="AQ24" s="155">
        <f t="shared" si="22"/>
        <v>0</v>
      </c>
      <c r="AR24" s="111"/>
      <c r="AS24" s="113"/>
      <c r="AT24" s="113"/>
      <c r="AU24" s="155">
        <f t="shared" si="23"/>
        <v>0</v>
      </c>
    </row>
    <row r="25" spans="1:47" ht="15.75">
      <c r="A25" s="97">
        <v>17</v>
      </c>
      <c r="B25" s="158" t="s">
        <v>53</v>
      </c>
      <c r="C25" s="112"/>
      <c r="D25" s="111"/>
      <c r="E25" s="113"/>
      <c r="F25" s="113"/>
      <c r="G25" s="155">
        <f t="shared" si="13"/>
        <v>0</v>
      </c>
      <c r="H25" s="113"/>
      <c r="I25" s="114"/>
      <c r="J25" s="113"/>
      <c r="K25" s="155">
        <f t="shared" si="14"/>
        <v>0</v>
      </c>
      <c r="L25" s="113"/>
      <c r="M25" s="113"/>
      <c r="N25" s="113"/>
      <c r="O25" s="155">
        <f t="shared" si="15"/>
        <v>0</v>
      </c>
      <c r="P25" s="113"/>
      <c r="Q25" s="113"/>
      <c r="R25" s="113"/>
      <c r="S25" s="155">
        <f t="shared" si="16"/>
        <v>0</v>
      </c>
      <c r="T25" s="113"/>
      <c r="U25" s="113"/>
      <c r="V25" s="113"/>
      <c r="W25" s="155">
        <f t="shared" si="17"/>
        <v>0</v>
      </c>
      <c r="X25" s="113"/>
      <c r="Y25" s="113"/>
      <c r="Z25" s="113"/>
      <c r="AA25" s="155">
        <f t="shared" si="18"/>
        <v>0</v>
      </c>
      <c r="AB25" s="113"/>
      <c r="AC25" s="113"/>
      <c r="AD25" s="113"/>
      <c r="AE25" s="155">
        <f t="shared" si="19"/>
        <v>0</v>
      </c>
      <c r="AF25" s="113"/>
      <c r="AG25" s="113"/>
      <c r="AH25" s="113"/>
      <c r="AI25" s="155">
        <f t="shared" si="20"/>
        <v>0</v>
      </c>
      <c r="AJ25" s="113"/>
      <c r="AK25" s="113"/>
      <c r="AL25" s="113"/>
      <c r="AM25" s="155">
        <f t="shared" si="21"/>
        <v>0</v>
      </c>
      <c r="AN25" s="113"/>
      <c r="AO25" s="113"/>
      <c r="AP25" s="113"/>
      <c r="AQ25" s="155">
        <f t="shared" si="22"/>
        <v>0</v>
      </c>
      <c r="AR25" s="111"/>
      <c r="AS25" s="113"/>
      <c r="AT25" s="113"/>
      <c r="AU25" s="155">
        <f t="shared" si="23"/>
        <v>0</v>
      </c>
    </row>
    <row r="26" spans="1:47" ht="16.5" thickBot="1">
      <c r="A26" s="104"/>
      <c r="B26" s="159"/>
      <c r="C26" s="142"/>
      <c r="D26" s="127"/>
      <c r="E26" s="133"/>
      <c r="F26" s="133"/>
      <c r="G26" s="155">
        <f t="shared" si="13"/>
        <v>0</v>
      </c>
      <c r="H26" s="133"/>
      <c r="I26" s="161"/>
      <c r="J26" s="133"/>
      <c r="K26" s="155">
        <f t="shared" si="14"/>
        <v>0</v>
      </c>
      <c r="L26" s="133"/>
      <c r="M26" s="133"/>
      <c r="N26" s="133"/>
      <c r="O26" s="155">
        <f t="shared" si="15"/>
        <v>0</v>
      </c>
      <c r="P26" s="133"/>
      <c r="Q26" s="133"/>
      <c r="R26" s="133"/>
      <c r="S26" s="155">
        <f t="shared" si="16"/>
        <v>0</v>
      </c>
      <c r="T26" s="133"/>
      <c r="U26" s="133"/>
      <c r="V26" s="133"/>
      <c r="W26" s="155">
        <f t="shared" si="17"/>
        <v>0</v>
      </c>
      <c r="X26" s="133"/>
      <c r="Y26" s="133"/>
      <c r="Z26" s="133"/>
      <c r="AA26" s="155">
        <f t="shared" si="18"/>
        <v>0</v>
      </c>
      <c r="AB26" s="133"/>
      <c r="AC26" s="133"/>
      <c r="AD26" s="133"/>
      <c r="AE26" s="155">
        <f t="shared" si="19"/>
        <v>0</v>
      </c>
      <c r="AF26" s="133"/>
      <c r="AG26" s="133"/>
      <c r="AH26" s="133"/>
      <c r="AI26" s="155">
        <f t="shared" si="20"/>
        <v>0</v>
      </c>
      <c r="AJ26" s="133"/>
      <c r="AK26" s="133"/>
      <c r="AL26" s="133"/>
      <c r="AM26" s="155">
        <f t="shared" si="21"/>
        <v>0</v>
      </c>
      <c r="AN26" s="133"/>
      <c r="AO26" s="133"/>
      <c r="AP26" s="133"/>
      <c r="AQ26" s="155">
        <f t="shared" si="22"/>
        <v>0</v>
      </c>
      <c r="AR26" s="127"/>
      <c r="AS26" s="133"/>
      <c r="AT26" s="133"/>
      <c r="AU26" s="155">
        <f t="shared" si="23"/>
        <v>0</v>
      </c>
    </row>
    <row r="27" spans="1:47" ht="16.5" thickBot="1">
      <c r="A27" s="38"/>
      <c r="B27" s="89" t="s">
        <v>54</v>
      </c>
      <c r="C27" s="20"/>
      <c r="D27" s="162">
        <f>SUM(D21:D26)</f>
        <v>2201</v>
      </c>
      <c r="E27" s="162">
        <f t="shared" ref="E27:G27" si="24">SUM(E21:E26)</f>
        <v>770</v>
      </c>
      <c r="F27" s="162">
        <f t="shared" si="24"/>
        <v>0</v>
      </c>
      <c r="G27" s="162">
        <f t="shared" si="24"/>
        <v>2971</v>
      </c>
      <c r="H27" s="162">
        <f>SUM(H21:H26)</f>
        <v>565</v>
      </c>
      <c r="I27" s="162">
        <f t="shared" ref="I27:K27" si="25">SUM(I21:I26)</f>
        <v>7300</v>
      </c>
      <c r="J27" s="162">
        <f t="shared" si="25"/>
        <v>0</v>
      </c>
      <c r="K27" s="162">
        <f t="shared" si="25"/>
        <v>7865</v>
      </c>
      <c r="L27" s="162">
        <f>SUM(L21:L26)</f>
        <v>1201</v>
      </c>
      <c r="M27" s="162">
        <f t="shared" ref="M27:O27" si="26">SUM(M21:M26)</f>
        <v>600</v>
      </c>
      <c r="N27" s="162">
        <f t="shared" si="26"/>
        <v>0</v>
      </c>
      <c r="O27" s="162">
        <f t="shared" si="26"/>
        <v>1801</v>
      </c>
      <c r="P27" s="162">
        <f>SUM(P21:P26)</f>
        <v>1159</v>
      </c>
      <c r="Q27" s="162">
        <f t="shared" ref="Q27:S27" si="27">SUM(Q21:Q26)</f>
        <v>500</v>
      </c>
      <c r="R27" s="162">
        <f t="shared" si="27"/>
        <v>0</v>
      </c>
      <c r="S27" s="162">
        <f t="shared" si="27"/>
        <v>1659</v>
      </c>
      <c r="T27" s="162">
        <f>SUM(T21:T26)</f>
        <v>700</v>
      </c>
      <c r="U27" s="162">
        <f t="shared" ref="U27:W27" si="28">SUM(U21:U26)</f>
        <v>500</v>
      </c>
      <c r="V27" s="162">
        <f t="shared" si="28"/>
        <v>0</v>
      </c>
      <c r="W27" s="162">
        <f t="shared" si="28"/>
        <v>1200</v>
      </c>
      <c r="X27" s="162">
        <f>SUM(X21:X26)</f>
        <v>400</v>
      </c>
      <c r="Y27" s="162">
        <f t="shared" ref="Y27:AA27" si="29">SUM(Y21:Y26)</f>
        <v>0</v>
      </c>
      <c r="Z27" s="162">
        <f t="shared" si="29"/>
        <v>0</v>
      </c>
      <c r="AA27" s="162">
        <f t="shared" si="29"/>
        <v>400</v>
      </c>
      <c r="AB27" s="162">
        <f>SUM(AB21:AB26)</f>
        <v>1120</v>
      </c>
      <c r="AC27" s="162">
        <f t="shared" ref="AC27:AE27" si="30">SUM(AC21:AC26)</f>
        <v>4603</v>
      </c>
      <c r="AD27" s="162">
        <f t="shared" si="30"/>
        <v>0</v>
      </c>
      <c r="AE27" s="162">
        <f t="shared" si="30"/>
        <v>5723</v>
      </c>
      <c r="AF27" s="162">
        <f>SUM(AF21:AF26)</f>
        <v>3550</v>
      </c>
      <c r="AG27" s="162">
        <f t="shared" ref="AG27:AI27" si="31">SUM(AG21:AG26)</f>
        <v>1970</v>
      </c>
      <c r="AH27" s="162">
        <f t="shared" si="31"/>
        <v>0</v>
      </c>
      <c r="AI27" s="162">
        <f t="shared" si="31"/>
        <v>5520</v>
      </c>
      <c r="AJ27" s="162">
        <f>SUM(AJ21:AJ26)</f>
        <v>1400</v>
      </c>
      <c r="AK27" s="162">
        <f t="shared" ref="AK27:AM27" si="32">SUM(AK21:AK26)</f>
        <v>4390</v>
      </c>
      <c r="AL27" s="162">
        <f t="shared" si="32"/>
        <v>0</v>
      </c>
      <c r="AM27" s="162">
        <f t="shared" si="32"/>
        <v>5790</v>
      </c>
      <c r="AN27" s="162">
        <f>SUM(AN21:AN26)</f>
        <v>0</v>
      </c>
      <c r="AO27" s="162">
        <f t="shared" ref="AO27:AQ27" si="33">SUM(AO21:AO26)</f>
        <v>0</v>
      </c>
      <c r="AP27" s="162">
        <f t="shared" si="33"/>
        <v>0</v>
      </c>
      <c r="AQ27" s="162">
        <f t="shared" si="33"/>
        <v>0</v>
      </c>
      <c r="AR27" s="162">
        <f>SUM(AR21:AR26)</f>
        <v>93</v>
      </c>
      <c r="AS27" s="162">
        <f t="shared" ref="AS27:AU27" si="34">SUM(AS21:AS26)</f>
        <v>200</v>
      </c>
      <c r="AT27" s="162">
        <f t="shared" si="34"/>
        <v>0</v>
      </c>
      <c r="AU27" s="162">
        <f t="shared" si="34"/>
        <v>293</v>
      </c>
    </row>
    <row r="28" spans="1:47" ht="15.75">
      <c r="A28" s="92">
        <v>18</v>
      </c>
      <c r="B28" s="149" t="s">
        <v>55</v>
      </c>
      <c r="C28" s="150"/>
      <c r="D28" s="151">
        <v>16396</v>
      </c>
      <c r="E28" s="152">
        <f>2600+16694</f>
        <v>19294</v>
      </c>
      <c r="F28" s="152"/>
      <c r="G28" s="153">
        <f>SUM(D28:F28)</f>
        <v>35690</v>
      </c>
      <c r="H28" s="152">
        <f>950+5390</f>
        <v>6340</v>
      </c>
      <c r="I28" s="152">
        <f>750+38815</f>
        <v>39565</v>
      </c>
      <c r="J28" s="152"/>
      <c r="K28" s="153">
        <f>SUM(H28:J28)</f>
        <v>45905</v>
      </c>
      <c r="L28" s="152">
        <f>200+5925</f>
        <v>6125</v>
      </c>
      <c r="M28" s="152">
        <f>550+31475</f>
        <v>32025</v>
      </c>
      <c r="N28" s="152"/>
      <c r="O28" s="153">
        <f>SUM(L28:N28)</f>
        <v>38150</v>
      </c>
      <c r="P28" s="152">
        <f>105+5718</f>
        <v>5823</v>
      </c>
      <c r="Q28" s="152">
        <f>200+14495</f>
        <v>14695</v>
      </c>
      <c r="R28" s="152"/>
      <c r="S28" s="153">
        <f>SUM(P28:R28)</f>
        <v>20518</v>
      </c>
      <c r="T28" s="152">
        <f>820+2663</f>
        <v>3483</v>
      </c>
      <c r="U28" s="152">
        <v>11205</v>
      </c>
      <c r="V28" s="152"/>
      <c r="W28" s="153">
        <f>SUM(T28:V28)</f>
        <v>14688</v>
      </c>
      <c r="X28" s="152">
        <v>1744</v>
      </c>
      <c r="Y28" s="152">
        <f>100+13780</f>
        <v>13880</v>
      </c>
      <c r="Z28" s="152"/>
      <c r="AA28" s="153">
        <f>SUM(X28:Z28)</f>
        <v>15624</v>
      </c>
      <c r="AB28" s="152">
        <v>2921</v>
      </c>
      <c r="AC28" s="152">
        <f>208+2955</f>
        <v>3163</v>
      </c>
      <c r="AD28" s="152"/>
      <c r="AE28" s="153">
        <f>SUM(AB28:AD28)</f>
        <v>6084</v>
      </c>
      <c r="AF28" s="152">
        <v>3113</v>
      </c>
      <c r="AG28" s="152">
        <v>9343</v>
      </c>
      <c r="AH28" s="152"/>
      <c r="AI28" s="153">
        <f>SUM(AF28:AH28)</f>
        <v>12456</v>
      </c>
      <c r="AJ28" s="152">
        <v>9126</v>
      </c>
      <c r="AK28" s="163">
        <f>1150+9360</f>
        <v>10510</v>
      </c>
      <c r="AL28" s="152"/>
      <c r="AM28" s="153">
        <f>SUM(AJ28:AL28)</f>
        <v>19636</v>
      </c>
      <c r="AN28" s="152">
        <v>2040</v>
      </c>
      <c r="AO28" s="152">
        <f>390+11293</f>
        <v>11683</v>
      </c>
      <c r="AP28" s="152"/>
      <c r="AQ28" s="153">
        <f>SUM(AN28:AP28)</f>
        <v>13723</v>
      </c>
      <c r="AR28" s="151">
        <v>678</v>
      </c>
      <c r="AS28" s="152">
        <f>4640+4952</f>
        <v>9592</v>
      </c>
      <c r="AT28" s="152"/>
      <c r="AU28" s="153">
        <f>SUM(AR28:AT28)</f>
        <v>10270</v>
      </c>
    </row>
    <row r="29" spans="1:47" ht="15.75">
      <c r="A29" s="95">
        <v>19</v>
      </c>
      <c r="B29" s="154" t="s">
        <v>56</v>
      </c>
      <c r="C29" s="112"/>
      <c r="D29" s="111">
        <v>899</v>
      </c>
      <c r="E29" s="113">
        <v>258</v>
      </c>
      <c r="F29" s="113"/>
      <c r="G29" s="155">
        <f>SUM(D29:F29)</f>
        <v>1157</v>
      </c>
      <c r="H29" s="113">
        <v>142</v>
      </c>
      <c r="I29" s="113">
        <v>540</v>
      </c>
      <c r="J29" s="113"/>
      <c r="K29" s="155">
        <f>SUM(H29:J29)</f>
        <v>682</v>
      </c>
      <c r="L29" s="113">
        <v>90</v>
      </c>
      <c r="M29" s="113">
        <v>2719</v>
      </c>
      <c r="N29" s="113"/>
      <c r="O29" s="155">
        <f>SUM(L29:N29)</f>
        <v>2809</v>
      </c>
      <c r="P29" s="113">
        <v>396</v>
      </c>
      <c r="Q29" s="113">
        <v>585</v>
      </c>
      <c r="R29" s="113"/>
      <c r="S29" s="155">
        <f>SUM(P29:R29)</f>
        <v>981</v>
      </c>
      <c r="T29" s="113">
        <f>60+359</f>
        <v>419</v>
      </c>
      <c r="U29" s="113">
        <v>772</v>
      </c>
      <c r="V29" s="113"/>
      <c r="W29" s="155">
        <f>SUM(T29:V29)</f>
        <v>1191</v>
      </c>
      <c r="X29" s="113">
        <v>477</v>
      </c>
      <c r="Y29" s="113">
        <f>40+143</f>
        <v>183</v>
      </c>
      <c r="Z29" s="113"/>
      <c r="AA29" s="155">
        <f>SUM(X29:Z29)</f>
        <v>660</v>
      </c>
      <c r="AB29" s="113">
        <v>115</v>
      </c>
      <c r="AC29" s="113">
        <f>10+100</f>
        <v>110</v>
      </c>
      <c r="AD29" s="113"/>
      <c r="AE29" s="155">
        <f>SUM(AB29:AD29)</f>
        <v>225</v>
      </c>
      <c r="AF29" s="113">
        <v>1145</v>
      </c>
      <c r="AG29" s="113">
        <v>432</v>
      </c>
      <c r="AH29" s="113"/>
      <c r="AI29" s="155">
        <f>SUM(AF29:AH29)</f>
        <v>1577</v>
      </c>
      <c r="AJ29" s="113">
        <v>1205</v>
      </c>
      <c r="AK29" s="164">
        <f>25+1221</f>
        <v>1246</v>
      </c>
      <c r="AL29" s="113"/>
      <c r="AM29" s="155">
        <f>SUM(AJ29:AL29)</f>
        <v>2451</v>
      </c>
      <c r="AN29" s="113"/>
      <c r="AO29" s="113">
        <f>20+4716</f>
        <v>4736</v>
      </c>
      <c r="AP29" s="113"/>
      <c r="AQ29" s="155">
        <f>SUM(AN29:AP29)</f>
        <v>4736</v>
      </c>
      <c r="AR29" s="111">
        <v>992</v>
      </c>
      <c r="AS29" s="113">
        <f>1070+270</f>
        <v>1340</v>
      </c>
      <c r="AT29" s="113"/>
      <c r="AU29" s="155">
        <f>SUM(AR29:AT29)</f>
        <v>2332</v>
      </c>
    </row>
    <row r="30" spans="1:47" ht="15.75">
      <c r="A30" s="95">
        <v>20</v>
      </c>
      <c r="B30" s="154" t="s">
        <v>57</v>
      </c>
      <c r="C30" s="112"/>
      <c r="D30" s="111">
        <v>1468</v>
      </c>
      <c r="E30" s="113">
        <f>1300+2544</f>
        <v>3844</v>
      </c>
      <c r="F30" s="113"/>
      <c r="G30" s="155">
        <f t="shared" ref="G30:G46" si="35">SUM(D30:F30)</f>
        <v>5312</v>
      </c>
      <c r="H30" s="113">
        <v>750</v>
      </c>
      <c r="I30" s="113">
        <f>1200+2800</f>
        <v>4000</v>
      </c>
      <c r="J30" s="113"/>
      <c r="K30" s="155">
        <f t="shared" ref="K30:K46" si="36">SUM(H30:J30)</f>
        <v>4750</v>
      </c>
      <c r="L30" s="113">
        <f>50+860</f>
        <v>910</v>
      </c>
      <c r="M30" s="113">
        <f>1300+3679</f>
        <v>4979</v>
      </c>
      <c r="N30" s="113"/>
      <c r="O30" s="155">
        <f t="shared" ref="O30:O46" si="37">SUM(L30:N30)</f>
        <v>5889</v>
      </c>
      <c r="P30" s="113">
        <v>400</v>
      </c>
      <c r="Q30" s="113">
        <v>3350</v>
      </c>
      <c r="R30" s="113"/>
      <c r="S30" s="155">
        <f t="shared" ref="S30:S46" si="38">SUM(P30:R30)</f>
        <v>3750</v>
      </c>
      <c r="T30" s="113">
        <v>0</v>
      </c>
      <c r="U30" s="113">
        <v>2465</v>
      </c>
      <c r="V30" s="113"/>
      <c r="W30" s="155">
        <f t="shared" ref="W30:W46" si="39">SUM(T30:V30)</f>
        <v>2465</v>
      </c>
      <c r="X30" s="113">
        <v>672</v>
      </c>
      <c r="Y30" s="113">
        <f>50+602</f>
        <v>652</v>
      </c>
      <c r="Z30" s="113"/>
      <c r="AA30" s="155">
        <f t="shared" ref="AA30:AA46" si="40">SUM(X30:Z30)</f>
        <v>1324</v>
      </c>
      <c r="AB30" s="113">
        <v>100</v>
      </c>
      <c r="AC30" s="113">
        <v>250</v>
      </c>
      <c r="AD30" s="113"/>
      <c r="AE30" s="155">
        <f t="shared" ref="AE30:AE46" si="41">SUM(AB30:AD30)</f>
        <v>350</v>
      </c>
      <c r="AF30" s="113">
        <v>85</v>
      </c>
      <c r="AG30" s="113">
        <v>1715</v>
      </c>
      <c r="AH30" s="113"/>
      <c r="AI30" s="155">
        <f t="shared" ref="AI30:AI46" si="42">SUM(AF30:AH30)</f>
        <v>1800</v>
      </c>
      <c r="AJ30" s="113">
        <v>378</v>
      </c>
      <c r="AK30" s="164">
        <f>565+3387</f>
        <v>3952</v>
      </c>
      <c r="AL30" s="113"/>
      <c r="AM30" s="155">
        <f t="shared" ref="AM30:AM46" si="43">SUM(AJ30:AL30)</f>
        <v>4330</v>
      </c>
      <c r="AN30" s="113">
        <v>25</v>
      </c>
      <c r="AO30" s="113">
        <f>510+5338</f>
        <v>5848</v>
      </c>
      <c r="AP30" s="113"/>
      <c r="AQ30" s="155">
        <f t="shared" ref="AQ30:AQ46" si="44">SUM(AN30:AP30)</f>
        <v>5873</v>
      </c>
      <c r="AR30" s="111">
        <v>29</v>
      </c>
      <c r="AS30" s="113">
        <f>2350+3532</f>
        <v>5882</v>
      </c>
      <c r="AT30" s="113"/>
      <c r="AU30" s="155">
        <f t="shared" ref="AU30:AU46" si="45">SUM(AR30:AT30)</f>
        <v>5911</v>
      </c>
    </row>
    <row r="31" spans="1:47" ht="15.75">
      <c r="A31" s="95">
        <v>21</v>
      </c>
      <c r="B31" s="154" t="s">
        <v>58</v>
      </c>
      <c r="C31" s="112"/>
      <c r="D31" s="111"/>
      <c r="E31" s="113">
        <v>1550</v>
      </c>
      <c r="F31" s="113"/>
      <c r="G31" s="155">
        <f t="shared" si="35"/>
        <v>1550</v>
      </c>
      <c r="H31" s="113">
        <v>308</v>
      </c>
      <c r="I31" s="113">
        <v>800</v>
      </c>
      <c r="J31" s="113"/>
      <c r="K31" s="155">
        <f t="shared" si="36"/>
        <v>1108</v>
      </c>
      <c r="L31" s="113"/>
      <c r="M31" s="113"/>
      <c r="N31" s="113"/>
      <c r="O31" s="155">
        <f t="shared" si="37"/>
        <v>0</v>
      </c>
      <c r="P31" s="113">
        <v>0</v>
      </c>
      <c r="Q31" s="113">
        <v>4000</v>
      </c>
      <c r="R31" s="113"/>
      <c r="S31" s="155">
        <f t="shared" si="38"/>
        <v>4000</v>
      </c>
      <c r="T31" s="113">
        <v>0</v>
      </c>
      <c r="U31" s="113">
        <v>1500</v>
      </c>
      <c r="V31" s="113"/>
      <c r="W31" s="155">
        <f t="shared" si="39"/>
        <v>1500</v>
      </c>
      <c r="X31" s="113">
        <v>300</v>
      </c>
      <c r="Y31" s="113">
        <v>3550</v>
      </c>
      <c r="Z31" s="113"/>
      <c r="AA31" s="155">
        <f t="shared" si="40"/>
        <v>3850</v>
      </c>
      <c r="AB31" s="113">
        <v>0</v>
      </c>
      <c r="AC31" s="113">
        <v>0</v>
      </c>
      <c r="AD31" s="113"/>
      <c r="AE31" s="155">
        <f t="shared" si="41"/>
        <v>0</v>
      </c>
      <c r="AF31" s="113">
        <v>0</v>
      </c>
      <c r="AG31" s="113">
        <v>45</v>
      </c>
      <c r="AH31" s="113"/>
      <c r="AI31" s="155">
        <f t="shared" si="42"/>
        <v>45</v>
      </c>
      <c r="AJ31" s="113"/>
      <c r="AK31" s="164"/>
      <c r="AL31" s="113"/>
      <c r="AM31" s="155">
        <f t="shared" si="43"/>
        <v>0</v>
      </c>
      <c r="AN31" s="113">
        <v>360</v>
      </c>
      <c r="AO31" s="113">
        <v>2300</v>
      </c>
      <c r="AP31" s="113"/>
      <c r="AQ31" s="155">
        <f t="shared" si="44"/>
        <v>2660</v>
      </c>
      <c r="AR31" s="111"/>
      <c r="AS31" s="113">
        <v>1710</v>
      </c>
      <c r="AT31" s="113"/>
      <c r="AU31" s="155">
        <f t="shared" si="45"/>
        <v>1710</v>
      </c>
    </row>
    <row r="32" spans="1:47" ht="15.75">
      <c r="A32" s="95">
        <v>22</v>
      </c>
      <c r="B32" s="154" t="s">
        <v>59</v>
      </c>
      <c r="C32" s="112"/>
      <c r="D32" s="111"/>
      <c r="E32" s="113">
        <v>298</v>
      </c>
      <c r="F32" s="113"/>
      <c r="G32" s="155">
        <f t="shared" si="35"/>
        <v>298</v>
      </c>
      <c r="H32" s="113"/>
      <c r="I32" s="113">
        <f>100+210</f>
        <v>310</v>
      </c>
      <c r="J32" s="113"/>
      <c r="K32" s="155">
        <f t="shared" si="36"/>
        <v>310</v>
      </c>
      <c r="L32" s="113"/>
      <c r="M32" s="113">
        <v>715</v>
      </c>
      <c r="N32" s="113"/>
      <c r="O32" s="155">
        <f t="shared" si="37"/>
        <v>715</v>
      </c>
      <c r="P32" s="113">
        <f>30+228</f>
        <v>258</v>
      </c>
      <c r="Q32" s="113">
        <v>451</v>
      </c>
      <c r="R32" s="113"/>
      <c r="S32" s="155">
        <f t="shared" si="38"/>
        <v>709</v>
      </c>
      <c r="T32" s="113">
        <f>70+10</f>
        <v>80</v>
      </c>
      <c r="U32" s="113">
        <v>685</v>
      </c>
      <c r="V32" s="113"/>
      <c r="W32" s="155">
        <f t="shared" si="39"/>
        <v>765</v>
      </c>
      <c r="X32" s="113">
        <v>850</v>
      </c>
      <c r="Y32" s="113">
        <v>850</v>
      </c>
      <c r="Z32" s="113"/>
      <c r="AA32" s="155">
        <f t="shared" si="40"/>
        <v>1700</v>
      </c>
      <c r="AB32" s="113">
        <v>20</v>
      </c>
      <c r="AC32" s="113">
        <f>63+150</f>
        <v>213</v>
      </c>
      <c r="AD32" s="113"/>
      <c r="AE32" s="155">
        <f t="shared" si="41"/>
        <v>233</v>
      </c>
      <c r="AF32" s="113">
        <v>0</v>
      </c>
      <c r="AG32" s="113">
        <v>178</v>
      </c>
      <c r="AH32" s="113"/>
      <c r="AI32" s="155">
        <f t="shared" si="42"/>
        <v>178</v>
      </c>
      <c r="AJ32" s="113">
        <v>637</v>
      </c>
      <c r="AK32" s="164">
        <v>1120</v>
      </c>
      <c r="AL32" s="113"/>
      <c r="AM32" s="155">
        <f t="shared" si="43"/>
        <v>1757</v>
      </c>
      <c r="AN32" s="113"/>
      <c r="AO32" s="113">
        <f>140+1205</f>
        <v>1345</v>
      </c>
      <c r="AP32" s="113"/>
      <c r="AQ32" s="155">
        <f t="shared" si="44"/>
        <v>1345</v>
      </c>
      <c r="AR32" s="111"/>
      <c r="AS32" s="113">
        <f>80+806</f>
        <v>886</v>
      </c>
      <c r="AT32" s="113"/>
      <c r="AU32" s="155">
        <f t="shared" si="45"/>
        <v>886</v>
      </c>
    </row>
    <row r="33" spans="1:47" ht="15.75">
      <c r="A33" s="95">
        <v>23</v>
      </c>
      <c r="B33" s="154" t="s">
        <v>60</v>
      </c>
      <c r="C33" s="112"/>
      <c r="D33" s="111"/>
      <c r="E33" s="113">
        <f>1200+2555</f>
        <v>3755</v>
      </c>
      <c r="F33" s="113"/>
      <c r="G33" s="155">
        <f t="shared" si="35"/>
        <v>3755</v>
      </c>
      <c r="H33" s="113"/>
      <c r="I33" s="113">
        <f>100+4629</f>
        <v>4729</v>
      </c>
      <c r="J33" s="113"/>
      <c r="K33" s="155">
        <f t="shared" si="36"/>
        <v>4729</v>
      </c>
      <c r="L33" s="113">
        <v>300</v>
      </c>
      <c r="M33" s="113">
        <f>940+4549</f>
        <v>5489</v>
      </c>
      <c r="N33" s="113"/>
      <c r="O33" s="155">
        <f t="shared" si="37"/>
        <v>5789</v>
      </c>
      <c r="P33" s="113">
        <v>475</v>
      </c>
      <c r="Q33" s="113">
        <f>265+1330</f>
        <v>1595</v>
      </c>
      <c r="R33" s="113"/>
      <c r="S33" s="155">
        <f t="shared" si="38"/>
        <v>2070</v>
      </c>
      <c r="T33" s="113"/>
      <c r="U33" s="113">
        <v>1000</v>
      </c>
      <c r="V33" s="113"/>
      <c r="W33" s="155">
        <f t="shared" si="39"/>
        <v>1000</v>
      </c>
      <c r="X33" s="113">
        <v>1000</v>
      </c>
      <c r="Y33" s="113">
        <f>50+2050</f>
        <v>2100</v>
      </c>
      <c r="Z33" s="113"/>
      <c r="AA33" s="155">
        <f t="shared" si="40"/>
        <v>3100</v>
      </c>
      <c r="AB33" s="113">
        <v>10</v>
      </c>
      <c r="AC33" s="113"/>
      <c r="AD33" s="113"/>
      <c r="AE33" s="155">
        <f t="shared" si="41"/>
        <v>10</v>
      </c>
      <c r="AF33" s="113">
        <v>355</v>
      </c>
      <c r="AG33" s="113">
        <v>96</v>
      </c>
      <c r="AH33" s="113"/>
      <c r="AI33" s="155">
        <f t="shared" si="42"/>
        <v>451</v>
      </c>
      <c r="AJ33" s="113">
        <v>1995</v>
      </c>
      <c r="AK33" s="164">
        <v>2521</v>
      </c>
      <c r="AL33" s="113"/>
      <c r="AM33" s="155">
        <f t="shared" si="43"/>
        <v>4516</v>
      </c>
      <c r="AN33" s="113"/>
      <c r="AO33" s="113">
        <f>35+986</f>
        <v>1021</v>
      </c>
      <c r="AP33" s="113"/>
      <c r="AQ33" s="155">
        <f t="shared" si="44"/>
        <v>1021</v>
      </c>
      <c r="AR33" s="111"/>
      <c r="AS33" s="113">
        <v>495</v>
      </c>
      <c r="AT33" s="113"/>
      <c r="AU33" s="155">
        <f t="shared" si="45"/>
        <v>495</v>
      </c>
    </row>
    <row r="34" spans="1:47" ht="15.75">
      <c r="A34" s="95">
        <v>24</v>
      </c>
      <c r="B34" s="154" t="s">
        <v>48</v>
      </c>
      <c r="C34" s="112"/>
      <c r="D34" s="111"/>
      <c r="E34" s="113"/>
      <c r="F34" s="113"/>
      <c r="G34" s="155">
        <f t="shared" si="35"/>
        <v>0</v>
      </c>
      <c r="H34" s="113"/>
      <c r="I34" s="113"/>
      <c r="J34" s="113"/>
      <c r="K34" s="155">
        <f t="shared" si="36"/>
        <v>0</v>
      </c>
      <c r="L34" s="113"/>
      <c r="M34" s="113"/>
      <c r="N34" s="113"/>
      <c r="O34" s="155">
        <f t="shared" si="37"/>
        <v>0</v>
      </c>
      <c r="P34" s="113"/>
      <c r="Q34" s="113"/>
      <c r="R34" s="113"/>
      <c r="S34" s="155">
        <f t="shared" si="38"/>
        <v>0</v>
      </c>
      <c r="T34" s="113"/>
      <c r="U34" s="113"/>
      <c r="V34" s="113"/>
      <c r="W34" s="155">
        <f t="shared" si="39"/>
        <v>0</v>
      </c>
      <c r="X34" s="113"/>
      <c r="Y34" s="113"/>
      <c r="Z34" s="113"/>
      <c r="AA34" s="155">
        <f t="shared" si="40"/>
        <v>0</v>
      </c>
      <c r="AB34" s="113"/>
      <c r="AC34" s="113"/>
      <c r="AD34" s="113"/>
      <c r="AE34" s="155">
        <f t="shared" si="41"/>
        <v>0</v>
      </c>
      <c r="AF34" s="113"/>
      <c r="AG34" s="113"/>
      <c r="AH34" s="113"/>
      <c r="AI34" s="155">
        <f t="shared" si="42"/>
        <v>0</v>
      </c>
      <c r="AJ34" s="113"/>
      <c r="AK34" s="164"/>
      <c r="AL34" s="113"/>
      <c r="AM34" s="155">
        <f t="shared" si="43"/>
        <v>0</v>
      </c>
      <c r="AN34" s="113"/>
      <c r="AO34" s="113"/>
      <c r="AP34" s="113"/>
      <c r="AQ34" s="155">
        <f t="shared" si="44"/>
        <v>0</v>
      </c>
      <c r="AR34" s="111"/>
      <c r="AS34" s="113"/>
      <c r="AT34" s="113"/>
      <c r="AU34" s="155">
        <f t="shared" si="45"/>
        <v>0</v>
      </c>
    </row>
    <row r="35" spans="1:47" ht="15.75">
      <c r="A35" s="95">
        <v>25</v>
      </c>
      <c r="B35" s="154" t="s">
        <v>61</v>
      </c>
      <c r="C35" s="112"/>
      <c r="D35" s="111"/>
      <c r="E35" s="113"/>
      <c r="F35" s="113"/>
      <c r="G35" s="155">
        <f t="shared" si="35"/>
        <v>0</v>
      </c>
      <c r="H35" s="113"/>
      <c r="I35" s="113"/>
      <c r="J35" s="113"/>
      <c r="K35" s="155">
        <f t="shared" si="36"/>
        <v>0</v>
      </c>
      <c r="L35" s="113"/>
      <c r="M35" s="113"/>
      <c r="N35" s="113"/>
      <c r="O35" s="155">
        <f t="shared" si="37"/>
        <v>0</v>
      </c>
      <c r="P35" s="113"/>
      <c r="Q35" s="113"/>
      <c r="R35" s="113"/>
      <c r="S35" s="155">
        <f t="shared" si="38"/>
        <v>0</v>
      </c>
      <c r="T35" s="113"/>
      <c r="U35" s="113"/>
      <c r="V35" s="113"/>
      <c r="W35" s="155">
        <f t="shared" si="39"/>
        <v>0</v>
      </c>
      <c r="X35" s="113"/>
      <c r="Y35" s="113"/>
      <c r="Z35" s="113"/>
      <c r="AA35" s="155">
        <f t="shared" si="40"/>
        <v>0</v>
      </c>
      <c r="AB35" s="113"/>
      <c r="AC35" s="113"/>
      <c r="AD35" s="113"/>
      <c r="AE35" s="155">
        <f t="shared" si="41"/>
        <v>0</v>
      </c>
      <c r="AF35" s="113"/>
      <c r="AG35" s="113"/>
      <c r="AH35" s="113"/>
      <c r="AI35" s="155">
        <f t="shared" si="42"/>
        <v>0</v>
      </c>
      <c r="AJ35" s="113"/>
      <c r="AK35" s="164"/>
      <c r="AL35" s="113"/>
      <c r="AM35" s="155">
        <f t="shared" si="43"/>
        <v>0</v>
      </c>
      <c r="AN35" s="113"/>
      <c r="AO35" s="113"/>
      <c r="AP35" s="113"/>
      <c r="AQ35" s="155">
        <f t="shared" si="44"/>
        <v>0</v>
      </c>
      <c r="AR35" s="111"/>
      <c r="AS35" s="113"/>
      <c r="AT35" s="113"/>
      <c r="AU35" s="155">
        <f t="shared" si="45"/>
        <v>0</v>
      </c>
    </row>
    <row r="36" spans="1:47" ht="15.75">
      <c r="A36" s="95">
        <v>26</v>
      </c>
      <c r="B36" s="154" t="s">
        <v>62</v>
      </c>
      <c r="C36" s="112"/>
      <c r="D36" s="111"/>
      <c r="E36" s="113"/>
      <c r="F36" s="113"/>
      <c r="G36" s="155">
        <f t="shared" si="35"/>
        <v>0</v>
      </c>
      <c r="H36" s="113"/>
      <c r="I36" s="113"/>
      <c r="J36" s="113"/>
      <c r="K36" s="155">
        <f t="shared" si="36"/>
        <v>0</v>
      </c>
      <c r="L36" s="113"/>
      <c r="M36" s="113"/>
      <c r="N36" s="113"/>
      <c r="O36" s="155">
        <f t="shared" si="37"/>
        <v>0</v>
      </c>
      <c r="P36" s="113"/>
      <c r="Q36" s="113"/>
      <c r="R36" s="113"/>
      <c r="S36" s="155">
        <f t="shared" si="38"/>
        <v>0</v>
      </c>
      <c r="T36" s="113"/>
      <c r="U36" s="113"/>
      <c r="V36" s="113"/>
      <c r="W36" s="155">
        <f t="shared" si="39"/>
        <v>0</v>
      </c>
      <c r="X36" s="113"/>
      <c r="Y36" s="113"/>
      <c r="Z36" s="113"/>
      <c r="AA36" s="155">
        <f t="shared" si="40"/>
        <v>0</v>
      </c>
      <c r="AB36" s="113"/>
      <c r="AC36" s="113"/>
      <c r="AD36" s="113"/>
      <c r="AE36" s="155">
        <f t="shared" si="41"/>
        <v>0</v>
      </c>
      <c r="AF36" s="113"/>
      <c r="AG36" s="113"/>
      <c r="AH36" s="113"/>
      <c r="AI36" s="155">
        <f t="shared" si="42"/>
        <v>0</v>
      </c>
      <c r="AJ36" s="113"/>
      <c r="AK36" s="164"/>
      <c r="AL36" s="113"/>
      <c r="AM36" s="155">
        <f t="shared" si="43"/>
        <v>0</v>
      </c>
      <c r="AN36" s="113"/>
      <c r="AO36" s="113"/>
      <c r="AP36" s="113"/>
      <c r="AQ36" s="155">
        <f t="shared" si="44"/>
        <v>0</v>
      </c>
      <c r="AR36" s="111"/>
      <c r="AS36" s="113"/>
      <c r="AT36" s="113"/>
      <c r="AU36" s="155">
        <f t="shared" si="45"/>
        <v>0</v>
      </c>
    </row>
    <row r="37" spans="1:47" ht="15.75">
      <c r="A37" s="95">
        <v>27</v>
      </c>
      <c r="B37" s="154" t="s">
        <v>63</v>
      </c>
      <c r="C37" s="112"/>
      <c r="D37" s="111"/>
      <c r="E37" s="113"/>
      <c r="F37" s="113"/>
      <c r="G37" s="155">
        <f t="shared" si="35"/>
        <v>0</v>
      </c>
      <c r="H37" s="113"/>
      <c r="I37" s="113"/>
      <c r="J37" s="113"/>
      <c r="K37" s="155">
        <f t="shared" si="36"/>
        <v>0</v>
      </c>
      <c r="L37" s="113"/>
      <c r="M37" s="113"/>
      <c r="N37" s="113"/>
      <c r="O37" s="155">
        <f t="shared" si="37"/>
        <v>0</v>
      </c>
      <c r="P37" s="113"/>
      <c r="Q37" s="113">
        <v>100</v>
      </c>
      <c r="R37" s="113"/>
      <c r="S37" s="155">
        <f t="shared" si="38"/>
        <v>100</v>
      </c>
      <c r="T37" s="113"/>
      <c r="U37" s="113"/>
      <c r="V37" s="113"/>
      <c r="W37" s="155">
        <f t="shared" si="39"/>
        <v>0</v>
      </c>
      <c r="X37" s="113"/>
      <c r="Y37" s="113"/>
      <c r="Z37" s="113"/>
      <c r="AA37" s="155">
        <f t="shared" si="40"/>
        <v>0</v>
      </c>
      <c r="AB37" s="113"/>
      <c r="AC37" s="113"/>
      <c r="AD37" s="113"/>
      <c r="AE37" s="155">
        <f t="shared" si="41"/>
        <v>0</v>
      </c>
      <c r="AF37" s="113"/>
      <c r="AG37" s="113"/>
      <c r="AH37" s="113"/>
      <c r="AI37" s="155">
        <f t="shared" si="42"/>
        <v>0</v>
      </c>
      <c r="AJ37" s="113"/>
      <c r="AK37" s="164"/>
      <c r="AL37" s="113"/>
      <c r="AM37" s="155">
        <f t="shared" si="43"/>
        <v>0</v>
      </c>
      <c r="AN37" s="113"/>
      <c r="AO37" s="113"/>
      <c r="AP37" s="113"/>
      <c r="AQ37" s="155">
        <f t="shared" si="44"/>
        <v>0</v>
      </c>
      <c r="AR37" s="111"/>
      <c r="AS37" s="113"/>
      <c r="AT37" s="113"/>
      <c r="AU37" s="155">
        <f t="shared" si="45"/>
        <v>0</v>
      </c>
    </row>
    <row r="38" spans="1:47" ht="15.75">
      <c r="A38" s="95">
        <v>28</v>
      </c>
      <c r="B38" s="154" t="s">
        <v>64</v>
      </c>
      <c r="C38" s="112"/>
      <c r="D38" s="111"/>
      <c r="E38" s="113"/>
      <c r="F38" s="113"/>
      <c r="G38" s="155">
        <f t="shared" si="35"/>
        <v>0</v>
      </c>
      <c r="H38" s="113"/>
      <c r="I38" s="113"/>
      <c r="J38" s="113"/>
      <c r="K38" s="155">
        <f t="shared" si="36"/>
        <v>0</v>
      </c>
      <c r="L38" s="113"/>
      <c r="M38" s="113"/>
      <c r="N38" s="113"/>
      <c r="O38" s="155">
        <f t="shared" si="37"/>
        <v>0</v>
      </c>
      <c r="P38" s="113"/>
      <c r="Q38" s="113"/>
      <c r="R38" s="113"/>
      <c r="S38" s="155">
        <f t="shared" si="38"/>
        <v>0</v>
      </c>
      <c r="T38" s="113"/>
      <c r="U38" s="113"/>
      <c r="V38" s="113"/>
      <c r="W38" s="155">
        <f t="shared" si="39"/>
        <v>0</v>
      </c>
      <c r="X38" s="113"/>
      <c r="Y38" s="113"/>
      <c r="Z38" s="113"/>
      <c r="AA38" s="155">
        <f t="shared" si="40"/>
        <v>0</v>
      </c>
      <c r="AB38" s="113"/>
      <c r="AC38" s="113"/>
      <c r="AD38" s="113"/>
      <c r="AE38" s="155">
        <f t="shared" si="41"/>
        <v>0</v>
      </c>
      <c r="AF38" s="113"/>
      <c r="AG38" s="113"/>
      <c r="AH38" s="113"/>
      <c r="AI38" s="155">
        <f t="shared" si="42"/>
        <v>0</v>
      </c>
      <c r="AJ38" s="113"/>
      <c r="AK38" s="164"/>
      <c r="AL38" s="113"/>
      <c r="AM38" s="155">
        <f t="shared" si="43"/>
        <v>0</v>
      </c>
      <c r="AN38" s="113"/>
      <c r="AO38" s="113"/>
      <c r="AP38" s="113"/>
      <c r="AQ38" s="155">
        <f t="shared" si="44"/>
        <v>0</v>
      </c>
      <c r="AR38" s="111"/>
      <c r="AS38" s="113"/>
      <c r="AT38" s="113"/>
      <c r="AU38" s="155">
        <f t="shared" si="45"/>
        <v>0</v>
      </c>
    </row>
    <row r="39" spans="1:47" ht="15.75">
      <c r="A39" s="95">
        <v>29</v>
      </c>
      <c r="B39" s="154" t="s">
        <v>65</v>
      </c>
      <c r="C39" s="112"/>
      <c r="D39" s="111"/>
      <c r="E39" s="113"/>
      <c r="F39" s="113"/>
      <c r="G39" s="155">
        <f t="shared" si="35"/>
        <v>0</v>
      </c>
      <c r="H39" s="113"/>
      <c r="I39" s="113"/>
      <c r="J39" s="113"/>
      <c r="K39" s="155">
        <f t="shared" si="36"/>
        <v>0</v>
      </c>
      <c r="L39" s="113"/>
      <c r="M39" s="113"/>
      <c r="N39" s="113"/>
      <c r="O39" s="155">
        <f t="shared" si="37"/>
        <v>0</v>
      </c>
      <c r="P39" s="113"/>
      <c r="Q39" s="113"/>
      <c r="R39" s="113"/>
      <c r="S39" s="155">
        <f t="shared" si="38"/>
        <v>0</v>
      </c>
      <c r="T39" s="113"/>
      <c r="U39" s="113"/>
      <c r="V39" s="113"/>
      <c r="W39" s="155">
        <f t="shared" si="39"/>
        <v>0</v>
      </c>
      <c r="X39" s="113"/>
      <c r="Y39" s="113"/>
      <c r="Z39" s="113"/>
      <c r="AA39" s="155">
        <f t="shared" si="40"/>
        <v>0</v>
      </c>
      <c r="AB39" s="113"/>
      <c r="AC39" s="113"/>
      <c r="AD39" s="113"/>
      <c r="AE39" s="155">
        <f t="shared" si="41"/>
        <v>0</v>
      </c>
      <c r="AF39" s="113"/>
      <c r="AG39" s="113">
        <v>0</v>
      </c>
      <c r="AH39" s="113"/>
      <c r="AI39" s="155">
        <f t="shared" si="42"/>
        <v>0</v>
      </c>
      <c r="AJ39" s="113"/>
      <c r="AK39" s="164"/>
      <c r="AL39" s="113"/>
      <c r="AM39" s="155">
        <f t="shared" si="43"/>
        <v>0</v>
      </c>
      <c r="AN39" s="113"/>
      <c r="AO39" s="113"/>
      <c r="AP39" s="113"/>
      <c r="AQ39" s="155">
        <f t="shared" si="44"/>
        <v>0</v>
      </c>
      <c r="AR39" s="111"/>
      <c r="AS39" s="113"/>
      <c r="AT39" s="113"/>
      <c r="AU39" s="155">
        <f t="shared" si="45"/>
        <v>0</v>
      </c>
    </row>
    <row r="40" spans="1:47" ht="15.75">
      <c r="A40" s="95">
        <v>30</v>
      </c>
      <c r="B40" s="154" t="s">
        <v>66</v>
      </c>
      <c r="C40" s="112"/>
      <c r="D40" s="111"/>
      <c r="E40" s="113"/>
      <c r="F40" s="113"/>
      <c r="G40" s="155">
        <f t="shared" si="35"/>
        <v>0</v>
      </c>
      <c r="H40" s="113"/>
      <c r="I40" s="113"/>
      <c r="J40" s="113"/>
      <c r="K40" s="155">
        <f t="shared" si="36"/>
        <v>0</v>
      </c>
      <c r="L40" s="113"/>
      <c r="M40" s="113"/>
      <c r="N40" s="113"/>
      <c r="O40" s="155">
        <f t="shared" si="37"/>
        <v>0</v>
      </c>
      <c r="P40" s="113"/>
      <c r="Q40" s="113"/>
      <c r="R40" s="113"/>
      <c r="S40" s="155">
        <f t="shared" si="38"/>
        <v>0</v>
      </c>
      <c r="T40" s="113"/>
      <c r="U40" s="113">
        <v>100</v>
      </c>
      <c r="V40" s="113"/>
      <c r="W40" s="155">
        <f t="shared" si="39"/>
        <v>100</v>
      </c>
      <c r="X40" s="113"/>
      <c r="Y40" s="113"/>
      <c r="Z40" s="113"/>
      <c r="AA40" s="155">
        <f t="shared" si="40"/>
        <v>0</v>
      </c>
      <c r="AB40" s="113"/>
      <c r="AC40" s="113"/>
      <c r="AD40" s="113"/>
      <c r="AE40" s="155">
        <f t="shared" si="41"/>
        <v>0</v>
      </c>
      <c r="AF40" s="113"/>
      <c r="AG40" s="113">
        <v>10</v>
      </c>
      <c r="AH40" s="113"/>
      <c r="AI40" s="155">
        <f t="shared" si="42"/>
        <v>10</v>
      </c>
      <c r="AJ40" s="113"/>
      <c r="AK40" s="164"/>
      <c r="AL40" s="113"/>
      <c r="AM40" s="155">
        <f t="shared" si="43"/>
        <v>0</v>
      </c>
      <c r="AN40" s="113"/>
      <c r="AO40" s="113">
        <v>1508</v>
      </c>
      <c r="AP40" s="113"/>
      <c r="AQ40" s="155">
        <f t="shared" si="44"/>
        <v>1508</v>
      </c>
      <c r="AR40" s="111"/>
      <c r="AS40" s="113">
        <v>525</v>
      </c>
      <c r="AT40" s="113"/>
      <c r="AU40" s="155">
        <f t="shared" si="45"/>
        <v>525</v>
      </c>
    </row>
    <row r="41" spans="1:47" ht="15.75">
      <c r="A41" s="95">
        <v>31</v>
      </c>
      <c r="B41" s="154" t="s">
        <v>67</v>
      </c>
      <c r="C41" s="112"/>
      <c r="D41" s="111"/>
      <c r="E41" s="113"/>
      <c r="F41" s="113"/>
      <c r="G41" s="155">
        <f t="shared" si="35"/>
        <v>0</v>
      </c>
      <c r="H41" s="113"/>
      <c r="I41" s="113"/>
      <c r="J41" s="113"/>
      <c r="K41" s="155">
        <f t="shared" si="36"/>
        <v>0</v>
      </c>
      <c r="L41" s="113"/>
      <c r="M41" s="113"/>
      <c r="N41" s="113"/>
      <c r="O41" s="155">
        <f t="shared" si="37"/>
        <v>0</v>
      </c>
      <c r="P41" s="113"/>
      <c r="Q41" s="113"/>
      <c r="R41" s="113"/>
      <c r="S41" s="155">
        <f t="shared" si="38"/>
        <v>0</v>
      </c>
      <c r="T41" s="113"/>
      <c r="U41" s="113"/>
      <c r="V41" s="113"/>
      <c r="W41" s="155">
        <f t="shared" si="39"/>
        <v>0</v>
      </c>
      <c r="X41" s="113"/>
      <c r="Y41" s="113"/>
      <c r="Z41" s="113"/>
      <c r="AA41" s="155">
        <f t="shared" si="40"/>
        <v>0</v>
      </c>
      <c r="AB41" s="113"/>
      <c r="AC41" s="113"/>
      <c r="AD41" s="113"/>
      <c r="AE41" s="155">
        <f t="shared" si="41"/>
        <v>0</v>
      </c>
      <c r="AF41" s="113"/>
      <c r="AG41" s="113"/>
      <c r="AH41" s="113"/>
      <c r="AI41" s="155">
        <f t="shared" si="42"/>
        <v>0</v>
      </c>
      <c r="AJ41" s="113"/>
      <c r="AK41" s="164"/>
      <c r="AL41" s="113"/>
      <c r="AM41" s="155">
        <f t="shared" si="43"/>
        <v>0</v>
      </c>
      <c r="AN41" s="113"/>
      <c r="AO41" s="113"/>
      <c r="AP41" s="113"/>
      <c r="AQ41" s="155">
        <f t="shared" si="44"/>
        <v>0</v>
      </c>
      <c r="AR41" s="111"/>
      <c r="AS41" s="113"/>
      <c r="AT41" s="113"/>
      <c r="AU41" s="155">
        <f t="shared" si="45"/>
        <v>0</v>
      </c>
    </row>
    <row r="42" spans="1:47" ht="15.75">
      <c r="A42" s="95">
        <v>32</v>
      </c>
      <c r="B42" s="154" t="s">
        <v>68</v>
      </c>
      <c r="C42" s="112"/>
      <c r="D42" s="111"/>
      <c r="E42" s="113"/>
      <c r="F42" s="113"/>
      <c r="G42" s="155">
        <f t="shared" si="35"/>
        <v>0</v>
      </c>
      <c r="H42" s="113"/>
      <c r="I42" s="113"/>
      <c r="J42" s="113"/>
      <c r="K42" s="155">
        <f t="shared" si="36"/>
        <v>0</v>
      </c>
      <c r="L42" s="113"/>
      <c r="M42" s="113"/>
      <c r="N42" s="113"/>
      <c r="O42" s="155">
        <f t="shared" si="37"/>
        <v>0</v>
      </c>
      <c r="P42" s="113"/>
      <c r="Q42" s="113"/>
      <c r="R42" s="113"/>
      <c r="S42" s="155">
        <f t="shared" si="38"/>
        <v>0</v>
      </c>
      <c r="T42" s="113"/>
      <c r="U42" s="113"/>
      <c r="V42" s="113"/>
      <c r="W42" s="155">
        <f t="shared" si="39"/>
        <v>0</v>
      </c>
      <c r="X42" s="113"/>
      <c r="Y42" s="113"/>
      <c r="Z42" s="113"/>
      <c r="AA42" s="155">
        <f t="shared" si="40"/>
        <v>0</v>
      </c>
      <c r="AB42" s="113"/>
      <c r="AC42" s="113"/>
      <c r="AD42" s="113"/>
      <c r="AE42" s="155">
        <f t="shared" si="41"/>
        <v>0</v>
      </c>
      <c r="AF42" s="113"/>
      <c r="AG42" s="113"/>
      <c r="AH42" s="113"/>
      <c r="AI42" s="155">
        <f t="shared" si="42"/>
        <v>0</v>
      </c>
      <c r="AJ42" s="113"/>
      <c r="AK42" s="164"/>
      <c r="AL42" s="113"/>
      <c r="AM42" s="155">
        <f t="shared" si="43"/>
        <v>0</v>
      </c>
      <c r="AN42" s="113"/>
      <c r="AO42" s="113"/>
      <c r="AP42" s="113"/>
      <c r="AQ42" s="155">
        <f t="shared" si="44"/>
        <v>0</v>
      </c>
      <c r="AR42" s="111"/>
      <c r="AS42" s="113"/>
      <c r="AT42" s="113"/>
      <c r="AU42" s="155">
        <f t="shared" si="45"/>
        <v>0</v>
      </c>
    </row>
    <row r="43" spans="1:47" ht="15.75">
      <c r="A43" s="95">
        <v>33</v>
      </c>
      <c r="B43" s="154" t="s">
        <v>69</v>
      </c>
      <c r="C43" s="112"/>
      <c r="D43" s="111"/>
      <c r="E43" s="113"/>
      <c r="F43" s="113"/>
      <c r="G43" s="155">
        <f t="shared" si="35"/>
        <v>0</v>
      </c>
      <c r="H43" s="113"/>
      <c r="I43" s="113"/>
      <c r="J43" s="113"/>
      <c r="K43" s="155">
        <f t="shared" si="36"/>
        <v>0</v>
      </c>
      <c r="L43" s="113">
        <v>200</v>
      </c>
      <c r="M43" s="113">
        <v>15</v>
      </c>
      <c r="N43" s="113"/>
      <c r="O43" s="155">
        <f t="shared" si="37"/>
        <v>215</v>
      </c>
      <c r="P43" s="113"/>
      <c r="Q43" s="113">
        <v>200</v>
      </c>
      <c r="R43" s="113"/>
      <c r="S43" s="155">
        <f t="shared" si="38"/>
        <v>200</v>
      </c>
      <c r="T43" s="113"/>
      <c r="U43" s="113"/>
      <c r="V43" s="113"/>
      <c r="W43" s="155">
        <f t="shared" si="39"/>
        <v>0</v>
      </c>
      <c r="X43" s="113"/>
      <c r="Y43" s="113"/>
      <c r="Z43" s="113"/>
      <c r="AA43" s="155">
        <f t="shared" si="40"/>
        <v>0</v>
      </c>
      <c r="AB43" s="113"/>
      <c r="AC43" s="113"/>
      <c r="AD43" s="113"/>
      <c r="AE43" s="155">
        <f t="shared" si="41"/>
        <v>0</v>
      </c>
      <c r="AF43" s="113"/>
      <c r="AG43" s="113"/>
      <c r="AH43" s="113"/>
      <c r="AI43" s="155">
        <f t="shared" si="42"/>
        <v>0</v>
      </c>
      <c r="AJ43" s="113"/>
      <c r="AK43" s="164"/>
      <c r="AL43" s="113"/>
      <c r="AM43" s="155">
        <f t="shared" si="43"/>
        <v>0</v>
      </c>
      <c r="AN43" s="113"/>
      <c r="AO43" s="113"/>
      <c r="AP43" s="113"/>
      <c r="AQ43" s="155">
        <f t="shared" si="44"/>
        <v>0</v>
      </c>
      <c r="AR43" s="111"/>
      <c r="AS43" s="113"/>
      <c r="AT43" s="113"/>
      <c r="AU43" s="155">
        <f t="shared" si="45"/>
        <v>0</v>
      </c>
    </row>
    <row r="44" spans="1:47" ht="15.75">
      <c r="A44" s="123">
        <v>34</v>
      </c>
      <c r="B44" s="165" t="s">
        <v>70</v>
      </c>
      <c r="C44" s="112"/>
      <c r="D44" s="111"/>
      <c r="E44" s="113"/>
      <c r="F44" s="113"/>
      <c r="G44" s="155">
        <f t="shared" si="35"/>
        <v>0</v>
      </c>
      <c r="H44" s="113"/>
      <c r="I44" s="113"/>
      <c r="J44" s="113"/>
      <c r="K44" s="155">
        <f t="shared" si="36"/>
        <v>0</v>
      </c>
      <c r="L44" s="113"/>
      <c r="M44" s="113"/>
      <c r="N44" s="113"/>
      <c r="O44" s="155">
        <f t="shared" si="37"/>
        <v>0</v>
      </c>
      <c r="P44" s="113"/>
      <c r="Q44" s="113"/>
      <c r="R44" s="113"/>
      <c r="S44" s="155">
        <f t="shared" si="38"/>
        <v>0</v>
      </c>
      <c r="T44" s="113"/>
      <c r="U44" s="113"/>
      <c r="V44" s="113"/>
      <c r="W44" s="155">
        <f t="shared" si="39"/>
        <v>0</v>
      </c>
      <c r="X44" s="113"/>
      <c r="Y44" s="113"/>
      <c r="Z44" s="113"/>
      <c r="AA44" s="155">
        <f t="shared" si="40"/>
        <v>0</v>
      </c>
      <c r="AB44" s="113"/>
      <c r="AC44" s="113"/>
      <c r="AD44" s="113"/>
      <c r="AE44" s="155">
        <f t="shared" si="41"/>
        <v>0</v>
      </c>
      <c r="AF44" s="113"/>
      <c r="AG44" s="113"/>
      <c r="AH44" s="113"/>
      <c r="AI44" s="155">
        <f t="shared" si="42"/>
        <v>0</v>
      </c>
      <c r="AJ44" s="113"/>
      <c r="AK44" s="164"/>
      <c r="AL44" s="113"/>
      <c r="AM44" s="155">
        <f t="shared" si="43"/>
        <v>0</v>
      </c>
      <c r="AN44" s="113"/>
      <c r="AO44" s="113"/>
      <c r="AP44" s="113"/>
      <c r="AQ44" s="155">
        <f t="shared" si="44"/>
        <v>0</v>
      </c>
      <c r="AR44" s="111"/>
      <c r="AS44" s="113"/>
      <c r="AT44" s="113"/>
      <c r="AU44" s="155">
        <f t="shared" si="45"/>
        <v>0</v>
      </c>
    </row>
    <row r="45" spans="1:47" ht="15.75">
      <c r="A45" s="123">
        <v>35</v>
      </c>
      <c r="B45" s="165" t="s">
        <v>71</v>
      </c>
      <c r="C45" s="112"/>
      <c r="D45" s="111"/>
      <c r="E45" s="113"/>
      <c r="F45" s="113"/>
      <c r="G45" s="155">
        <f t="shared" si="35"/>
        <v>0</v>
      </c>
      <c r="H45" s="113"/>
      <c r="I45" s="113"/>
      <c r="J45" s="113"/>
      <c r="K45" s="155">
        <f t="shared" si="36"/>
        <v>0</v>
      </c>
      <c r="L45" s="113"/>
      <c r="M45" s="113"/>
      <c r="N45" s="113"/>
      <c r="O45" s="155">
        <f t="shared" si="37"/>
        <v>0</v>
      </c>
      <c r="P45" s="113"/>
      <c r="Q45" s="113"/>
      <c r="R45" s="113"/>
      <c r="S45" s="155">
        <f t="shared" si="38"/>
        <v>0</v>
      </c>
      <c r="T45" s="113"/>
      <c r="U45" s="113"/>
      <c r="V45" s="113"/>
      <c r="W45" s="155">
        <f t="shared" si="39"/>
        <v>0</v>
      </c>
      <c r="X45" s="113"/>
      <c r="Y45" s="113"/>
      <c r="Z45" s="113"/>
      <c r="AA45" s="155">
        <f t="shared" si="40"/>
        <v>0</v>
      </c>
      <c r="AB45" s="113"/>
      <c r="AC45" s="113"/>
      <c r="AD45" s="113"/>
      <c r="AE45" s="155">
        <f t="shared" si="41"/>
        <v>0</v>
      </c>
      <c r="AF45" s="113"/>
      <c r="AG45" s="113"/>
      <c r="AH45" s="113"/>
      <c r="AI45" s="155">
        <f t="shared" si="42"/>
        <v>0</v>
      </c>
      <c r="AJ45" s="113"/>
      <c r="AK45" s="164"/>
      <c r="AL45" s="113"/>
      <c r="AM45" s="155">
        <f t="shared" si="43"/>
        <v>0</v>
      </c>
      <c r="AN45" s="113"/>
      <c r="AO45" s="113"/>
      <c r="AP45" s="113"/>
      <c r="AQ45" s="155">
        <f t="shared" si="44"/>
        <v>0</v>
      </c>
      <c r="AR45" s="111"/>
      <c r="AS45" s="113"/>
      <c r="AT45" s="113"/>
      <c r="AU45" s="155">
        <f t="shared" si="45"/>
        <v>0</v>
      </c>
    </row>
    <row r="46" spans="1:47" ht="16.5" thickBot="1">
      <c r="A46" s="97">
        <v>36</v>
      </c>
      <c r="B46" s="166"/>
      <c r="C46" s="167"/>
      <c r="D46" s="168"/>
      <c r="E46" s="169"/>
      <c r="F46" s="169"/>
      <c r="G46" s="155">
        <f t="shared" si="35"/>
        <v>0</v>
      </c>
      <c r="H46" s="169"/>
      <c r="I46" s="169"/>
      <c r="J46" s="169"/>
      <c r="K46" s="155">
        <f t="shared" si="36"/>
        <v>0</v>
      </c>
      <c r="L46" s="169"/>
      <c r="M46" s="169"/>
      <c r="N46" s="169"/>
      <c r="O46" s="155">
        <f t="shared" si="37"/>
        <v>0</v>
      </c>
      <c r="P46" s="169"/>
      <c r="Q46" s="169"/>
      <c r="R46" s="169"/>
      <c r="S46" s="155">
        <f t="shared" si="38"/>
        <v>0</v>
      </c>
      <c r="T46" s="169"/>
      <c r="U46" s="169"/>
      <c r="V46" s="169"/>
      <c r="W46" s="155">
        <f t="shared" si="39"/>
        <v>0</v>
      </c>
      <c r="X46" s="169"/>
      <c r="Y46" s="169"/>
      <c r="Z46" s="169"/>
      <c r="AA46" s="155">
        <f t="shared" si="40"/>
        <v>0</v>
      </c>
      <c r="AB46" s="169"/>
      <c r="AC46" s="169"/>
      <c r="AD46" s="169"/>
      <c r="AE46" s="155">
        <f t="shared" si="41"/>
        <v>0</v>
      </c>
      <c r="AF46" s="169"/>
      <c r="AG46" s="169"/>
      <c r="AH46" s="169"/>
      <c r="AI46" s="155">
        <f t="shared" si="42"/>
        <v>0</v>
      </c>
      <c r="AJ46" s="169"/>
      <c r="AK46" s="170"/>
      <c r="AL46" s="169"/>
      <c r="AM46" s="155">
        <f t="shared" si="43"/>
        <v>0</v>
      </c>
      <c r="AN46" s="169"/>
      <c r="AO46" s="169"/>
      <c r="AP46" s="169"/>
      <c r="AQ46" s="155">
        <f t="shared" si="44"/>
        <v>0</v>
      </c>
      <c r="AR46" s="168"/>
      <c r="AS46" s="169"/>
      <c r="AT46" s="169"/>
      <c r="AU46" s="155">
        <f t="shared" si="45"/>
        <v>0</v>
      </c>
    </row>
    <row r="47" spans="1:47" ht="16.5" thickBot="1">
      <c r="A47" s="90"/>
      <c r="B47" s="89" t="s">
        <v>9</v>
      </c>
      <c r="C47" s="20"/>
      <c r="D47" s="147">
        <f>SUM(D28:D46)</f>
        <v>18763</v>
      </c>
      <c r="E47" s="147">
        <f t="shared" ref="E47:G47" si="46">SUM(E28:E46)</f>
        <v>28999</v>
      </c>
      <c r="F47" s="147">
        <f t="shared" si="46"/>
        <v>0</v>
      </c>
      <c r="G47" s="147">
        <f t="shared" si="46"/>
        <v>47762</v>
      </c>
      <c r="H47" s="147">
        <f>SUM(H28:H46)</f>
        <v>7540</v>
      </c>
      <c r="I47" s="147">
        <f t="shared" ref="I47:K47" si="47">SUM(I28:I46)</f>
        <v>49944</v>
      </c>
      <c r="J47" s="147">
        <f t="shared" si="47"/>
        <v>0</v>
      </c>
      <c r="K47" s="147">
        <f t="shared" si="47"/>
        <v>57484</v>
      </c>
      <c r="L47" s="147">
        <f>SUM(L28:L46)</f>
        <v>7625</v>
      </c>
      <c r="M47" s="147">
        <f t="shared" ref="M47:O47" si="48">SUM(M28:M46)</f>
        <v>45942</v>
      </c>
      <c r="N47" s="147">
        <f t="shared" si="48"/>
        <v>0</v>
      </c>
      <c r="O47" s="147">
        <f t="shared" si="48"/>
        <v>53567</v>
      </c>
      <c r="P47" s="147">
        <f>SUM(P28:P46)</f>
        <v>7352</v>
      </c>
      <c r="Q47" s="147">
        <f t="shared" ref="Q47:S47" si="49">SUM(Q28:Q46)</f>
        <v>24976</v>
      </c>
      <c r="R47" s="147">
        <f t="shared" si="49"/>
        <v>0</v>
      </c>
      <c r="S47" s="147">
        <f t="shared" si="49"/>
        <v>32328</v>
      </c>
      <c r="T47" s="147">
        <f>SUM(T28:T46)</f>
        <v>3982</v>
      </c>
      <c r="U47" s="147">
        <f t="shared" ref="U47:W47" si="50">SUM(U28:U46)</f>
        <v>17727</v>
      </c>
      <c r="V47" s="147">
        <f t="shared" si="50"/>
        <v>0</v>
      </c>
      <c r="W47" s="147">
        <f t="shared" si="50"/>
        <v>21709</v>
      </c>
      <c r="X47" s="147">
        <f>SUM(X28:X46)</f>
        <v>5043</v>
      </c>
      <c r="Y47" s="147">
        <f t="shared" ref="Y47:AA47" si="51">SUM(Y28:Y46)</f>
        <v>21215</v>
      </c>
      <c r="Z47" s="147">
        <f t="shared" si="51"/>
        <v>0</v>
      </c>
      <c r="AA47" s="147">
        <f t="shared" si="51"/>
        <v>26258</v>
      </c>
      <c r="AB47" s="147">
        <f>SUM(AB28:AB46)</f>
        <v>3166</v>
      </c>
      <c r="AC47" s="147">
        <f t="shared" ref="AC47:AE47" si="52">SUM(AC28:AC46)</f>
        <v>3736</v>
      </c>
      <c r="AD47" s="147">
        <f t="shared" si="52"/>
        <v>0</v>
      </c>
      <c r="AE47" s="147">
        <f t="shared" si="52"/>
        <v>6902</v>
      </c>
      <c r="AF47" s="147">
        <f>SUM(AF28:AF46)</f>
        <v>4698</v>
      </c>
      <c r="AG47" s="147">
        <f t="shared" ref="AG47:AI47" si="53">SUM(AG28:AG46)</f>
        <v>11819</v>
      </c>
      <c r="AH47" s="147">
        <f t="shared" si="53"/>
        <v>0</v>
      </c>
      <c r="AI47" s="147">
        <f t="shared" si="53"/>
        <v>16517</v>
      </c>
      <c r="AJ47" s="147">
        <f>SUM(AJ28:AJ46)</f>
        <v>13341</v>
      </c>
      <c r="AK47" s="147">
        <f t="shared" ref="AK47:AM47" si="54">SUM(AK28:AK46)</f>
        <v>19349</v>
      </c>
      <c r="AL47" s="147">
        <f t="shared" si="54"/>
        <v>0</v>
      </c>
      <c r="AM47" s="147">
        <f t="shared" si="54"/>
        <v>32690</v>
      </c>
      <c r="AN47" s="147">
        <f>SUM(AN28:AN46)</f>
        <v>2425</v>
      </c>
      <c r="AO47" s="147">
        <f t="shared" ref="AO47:AQ47" si="55">SUM(AO28:AO46)</f>
        <v>28441</v>
      </c>
      <c r="AP47" s="147">
        <f t="shared" si="55"/>
        <v>0</v>
      </c>
      <c r="AQ47" s="147">
        <f t="shared" si="55"/>
        <v>30866</v>
      </c>
      <c r="AR47" s="147">
        <f>SUM(AR28:AR46)</f>
        <v>1699</v>
      </c>
      <c r="AS47" s="147">
        <f t="shared" ref="AS47:AU47" si="56">SUM(AS28:AS46)</f>
        <v>20430</v>
      </c>
      <c r="AT47" s="147">
        <f t="shared" si="56"/>
        <v>0</v>
      </c>
      <c r="AU47" s="147">
        <f t="shared" si="56"/>
        <v>22129</v>
      </c>
    </row>
    <row r="48" spans="1:47" ht="15.75">
      <c r="A48" s="92">
        <v>37</v>
      </c>
      <c r="B48" s="154" t="s">
        <v>72</v>
      </c>
      <c r="C48" s="114"/>
      <c r="D48" s="151">
        <v>130</v>
      </c>
      <c r="E48" s="152">
        <f>916+1320</f>
        <v>2236</v>
      </c>
      <c r="F48" s="152"/>
      <c r="G48" s="153">
        <f>SUM(D48:F48)</f>
        <v>2366</v>
      </c>
      <c r="H48" s="152"/>
      <c r="I48" s="152">
        <f>3947+150+1747</f>
        <v>5844</v>
      </c>
      <c r="J48" s="152"/>
      <c r="K48" s="153">
        <f>SUM(H48:J48)</f>
        <v>5844</v>
      </c>
      <c r="L48" s="152">
        <v>141</v>
      </c>
      <c r="M48" s="152">
        <f>200+5664+2790</f>
        <v>8654</v>
      </c>
      <c r="N48" s="152"/>
      <c r="O48" s="153">
        <f>SUM(L48:N48)</f>
        <v>8795</v>
      </c>
      <c r="P48" s="152">
        <v>57</v>
      </c>
      <c r="Q48" s="152">
        <f>965+670</f>
        <v>1635</v>
      </c>
      <c r="R48" s="152"/>
      <c r="S48" s="153">
        <f>SUM(P48:R48)</f>
        <v>1692</v>
      </c>
      <c r="T48" s="152">
        <v>14</v>
      </c>
      <c r="U48" s="152">
        <f>820+730</f>
        <v>1550</v>
      </c>
      <c r="V48" s="152"/>
      <c r="W48" s="153">
        <f>SUM(T48:V48)</f>
        <v>1564</v>
      </c>
      <c r="X48" s="152">
        <v>750</v>
      </c>
      <c r="Y48" s="152">
        <v>2722</v>
      </c>
      <c r="Z48" s="152"/>
      <c r="AA48" s="153">
        <f>SUM(X48:Z48)</f>
        <v>3472</v>
      </c>
      <c r="AB48" s="152">
        <f>50+50</f>
        <v>100</v>
      </c>
      <c r="AC48" s="152">
        <f>10+82</f>
        <v>92</v>
      </c>
      <c r="AD48" s="152"/>
      <c r="AE48" s="153">
        <f>SUM(AB48:AD48)</f>
        <v>192</v>
      </c>
      <c r="AF48" s="152"/>
      <c r="AG48" s="152">
        <f>352+517</f>
        <v>869</v>
      </c>
      <c r="AH48" s="152"/>
      <c r="AI48" s="153">
        <f>SUM(AF48:AH48)</f>
        <v>869</v>
      </c>
      <c r="AJ48" s="152">
        <f>35+1306</f>
        <v>1341</v>
      </c>
      <c r="AK48" s="152">
        <f>2394+1262</f>
        <v>3656</v>
      </c>
      <c r="AL48" s="152"/>
      <c r="AM48" s="153">
        <f>SUM(AJ48:AL48)</f>
        <v>4997</v>
      </c>
      <c r="AN48" s="152">
        <v>200</v>
      </c>
      <c r="AO48" s="152">
        <f>761+100+1764</f>
        <v>2625</v>
      </c>
      <c r="AP48" s="152"/>
      <c r="AQ48" s="153">
        <f>SUM(AN48:AP48)</f>
        <v>2825</v>
      </c>
      <c r="AR48" s="151">
        <v>54</v>
      </c>
      <c r="AS48" s="152">
        <f>898+320+574</f>
        <v>1792</v>
      </c>
      <c r="AT48" s="152"/>
      <c r="AU48" s="153">
        <f>SUM(AR48:AT48)</f>
        <v>1846</v>
      </c>
    </row>
    <row r="49" spans="1:47" ht="15.75">
      <c r="A49" s="95">
        <v>38</v>
      </c>
      <c r="B49" s="154" t="s">
        <v>73</v>
      </c>
      <c r="C49" s="114"/>
      <c r="D49" s="111"/>
      <c r="E49" s="113">
        <f>500+20</f>
        <v>520</v>
      </c>
      <c r="F49" s="113"/>
      <c r="G49" s="155">
        <f>SUM(D49:F49)</f>
        <v>520</v>
      </c>
      <c r="H49" s="113">
        <v>100</v>
      </c>
      <c r="I49" s="113">
        <f>1200+1010</f>
        <v>2210</v>
      </c>
      <c r="J49" s="113"/>
      <c r="K49" s="155">
        <f>SUM(H49:J49)</f>
        <v>2310</v>
      </c>
      <c r="L49" s="113"/>
      <c r="M49" s="113">
        <f>172</f>
        <v>172</v>
      </c>
      <c r="N49" s="113"/>
      <c r="O49" s="155">
        <f>SUM(L49:N49)</f>
        <v>172</v>
      </c>
      <c r="P49" s="113">
        <v>0</v>
      </c>
      <c r="Q49" s="113"/>
      <c r="R49" s="113"/>
      <c r="S49" s="155">
        <f>SUM(P49:R49)</f>
        <v>0</v>
      </c>
      <c r="T49" s="113">
        <v>0</v>
      </c>
      <c r="U49" s="113">
        <v>0</v>
      </c>
      <c r="V49" s="113"/>
      <c r="W49" s="155">
        <f>SUM(T49:V49)</f>
        <v>0</v>
      </c>
      <c r="X49" s="113">
        <v>500</v>
      </c>
      <c r="Y49" s="113">
        <v>0</v>
      </c>
      <c r="Z49" s="113"/>
      <c r="AA49" s="155">
        <f>SUM(X49:Z49)</f>
        <v>500</v>
      </c>
      <c r="AB49" s="113">
        <f>0</f>
        <v>0</v>
      </c>
      <c r="AC49" s="113">
        <v>0</v>
      </c>
      <c r="AD49" s="113"/>
      <c r="AE49" s="155">
        <f>SUM(AB49:AD49)</f>
        <v>0</v>
      </c>
      <c r="AF49" s="113"/>
      <c r="AG49" s="113">
        <v>0</v>
      </c>
      <c r="AH49" s="113"/>
      <c r="AI49" s="155">
        <f>SUM(AF49:AH49)</f>
        <v>0</v>
      </c>
      <c r="AJ49" s="113">
        <v>0</v>
      </c>
      <c r="AK49" s="113"/>
      <c r="AL49" s="113"/>
      <c r="AM49" s="155">
        <f>SUM(AJ49:AL49)</f>
        <v>0</v>
      </c>
      <c r="AN49" s="113"/>
      <c r="AO49" s="113">
        <v>807</v>
      </c>
      <c r="AP49" s="113"/>
      <c r="AQ49" s="155">
        <f>SUM(AN49:AP49)</f>
        <v>807</v>
      </c>
      <c r="AR49" s="111"/>
      <c r="AS49" s="113"/>
      <c r="AT49" s="113"/>
      <c r="AU49" s="155">
        <f>SUM(AR49:AT49)</f>
        <v>0</v>
      </c>
    </row>
    <row r="50" spans="1:47" ht="15.75">
      <c r="A50" s="95">
        <v>39</v>
      </c>
      <c r="B50" s="154" t="s">
        <v>74</v>
      </c>
      <c r="C50" s="114"/>
      <c r="D50" s="111">
        <f>5973+1000</f>
        <v>6973</v>
      </c>
      <c r="E50" s="113">
        <f>4523+15653+30500</f>
        <v>50676</v>
      </c>
      <c r="F50" s="113"/>
      <c r="G50" s="155">
        <f t="shared" ref="G50:G53" si="57">SUM(D50:F50)</f>
        <v>57649</v>
      </c>
      <c r="H50" s="113">
        <f>9020+5425</f>
        <v>14445</v>
      </c>
      <c r="I50" s="113">
        <f>12840+7900+37154</f>
        <v>57894</v>
      </c>
      <c r="J50" s="113"/>
      <c r="K50" s="155">
        <f t="shared" ref="K50:K53" si="58">SUM(H50:J50)</f>
        <v>72339</v>
      </c>
      <c r="L50" s="113">
        <f>4255+5500</f>
        <v>9755</v>
      </c>
      <c r="M50" s="113">
        <f>48520+6110+25120</f>
        <v>79750</v>
      </c>
      <c r="N50" s="113"/>
      <c r="O50" s="155">
        <f t="shared" ref="O50:O53" si="59">SUM(L50:N50)</f>
        <v>89505</v>
      </c>
      <c r="P50" s="113">
        <f>4900+8680</f>
        <v>13580</v>
      </c>
      <c r="Q50" s="113">
        <f>9500+15017+20010</f>
        <v>44527</v>
      </c>
      <c r="R50" s="113"/>
      <c r="S50" s="155">
        <f t="shared" ref="S50:S53" si="60">SUM(P50:R50)</f>
        <v>58107</v>
      </c>
      <c r="T50" s="113">
        <f>2000+10085</f>
        <v>12085</v>
      </c>
      <c r="U50" s="113">
        <f>2950+20408</f>
        <v>23358</v>
      </c>
      <c r="V50" s="113"/>
      <c r="W50" s="155">
        <f t="shared" ref="W50:W53" si="61">SUM(T50:V50)</f>
        <v>35443</v>
      </c>
      <c r="X50" s="113">
        <f>3700+1000+7403</f>
        <v>12103</v>
      </c>
      <c r="Y50" s="113">
        <f>3100+38787</f>
        <v>41887</v>
      </c>
      <c r="Z50" s="113"/>
      <c r="AA50" s="155">
        <f t="shared" ref="AA50:AA53" si="62">SUM(X50:Z50)</f>
        <v>53990</v>
      </c>
      <c r="AB50" s="113">
        <f>100+5840</f>
        <v>5940</v>
      </c>
      <c r="AC50" s="113">
        <f>300+4285+13720</f>
        <v>18305</v>
      </c>
      <c r="AD50" s="113"/>
      <c r="AE50" s="155">
        <f t="shared" ref="AE50:AE53" si="63">SUM(AB50:AD50)</f>
        <v>24245</v>
      </c>
      <c r="AF50" s="113">
        <f>550+3000</f>
        <v>3550</v>
      </c>
      <c r="AG50" s="113">
        <f>2350+18792</f>
        <v>21142</v>
      </c>
      <c r="AH50" s="113"/>
      <c r="AI50" s="155">
        <f t="shared" ref="AI50:AI53" si="64">SUM(AF50:AH50)</f>
        <v>24692</v>
      </c>
      <c r="AJ50" s="113">
        <v>5201</v>
      </c>
      <c r="AK50" s="113">
        <f>350+2900+5500+21747</f>
        <v>30497</v>
      </c>
      <c r="AL50" s="113"/>
      <c r="AM50" s="155">
        <f t="shared" ref="AM50:AM53" si="65">SUM(AJ50:AL50)</f>
        <v>35698</v>
      </c>
      <c r="AN50" s="113">
        <f>4950+7000</f>
        <v>11950</v>
      </c>
      <c r="AO50" s="113">
        <f>1100+1608+8100+29287</f>
        <v>40095</v>
      </c>
      <c r="AP50" s="113"/>
      <c r="AQ50" s="155">
        <f t="shared" ref="AQ50:AQ53" si="66">SUM(AN50:AP50)</f>
        <v>52045</v>
      </c>
      <c r="AR50" s="111">
        <v>7554</v>
      </c>
      <c r="AS50" s="113">
        <f>1030+1322+15500+140746</f>
        <v>158598</v>
      </c>
      <c r="AT50" s="113"/>
      <c r="AU50" s="155">
        <f t="shared" ref="AU50:AU53" si="67">SUM(AR50:AT50)</f>
        <v>166152</v>
      </c>
    </row>
    <row r="51" spans="1:47" ht="15.75">
      <c r="A51" s="95">
        <v>40</v>
      </c>
      <c r="B51" s="154" t="s">
        <v>75</v>
      </c>
      <c r="C51" s="114"/>
      <c r="D51" s="111"/>
      <c r="E51" s="113"/>
      <c r="F51" s="113"/>
      <c r="G51" s="155">
        <f t="shared" si="57"/>
        <v>0</v>
      </c>
      <c r="H51" s="113"/>
      <c r="I51" s="113"/>
      <c r="J51" s="113"/>
      <c r="K51" s="155">
        <f t="shared" si="58"/>
        <v>0</v>
      </c>
      <c r="L51" s="113"/>
      <c r="M51" s="113">
        <f>150+310</f>
        <v>460</v>
      </c>
      <c r="N51" s="113"/>
      <c r="O51" s="155">
        <f t="shared" si="59"/>
        <v>460</v>
      </c>
      <c r="P51" s="113"/>
      <c r="Q51" s="113"/>
      <c r="R51" s="113"/>
      <c r="S51" s="155">
        <f t="shared" si="60"/>
        <v>0</v>
      </c>
      <c r="T51" s="113">
        <v>47</v>
      </c>
      <c r="U51" s="113">
        <v>500</v>
      </c>
      <c r="V51" s="113"/>
      <c r="W51" s="155">
        <f t="shared" si="61"/>
        <v>547</v>
      </c>
      <c r="X51" s="113">
        <v>716</v>
      </c>
      <c r="Y51" s="113">
        <v>3000</v>
      </c>
      <c r="Z51" s="113"/>
      <c r="AA51" s="155">
        <f t="shared" si="62"/>
        <v>3716</v>
      </c>
      <c r="AB51" s="113"/>
      <c r="AC51" s="113">
        <f>113+6313</f>
        <v>6426</v>
      </c>
      <c r="AD51" s="113"/>
      <c r="AE51" s="155">
        <f t="shared" si="63"/>
        <v>6426</v>
      </c>
      <c r="AF51" s="113">
        <v>150</v>
      </c>
      <c r="AG51" s="113">
        <v>2550</v>
      </c>
      <c r="AH51" s="113"/>
      <c r="AI51" s="155">
        <f t="shared" si="64"/>
        <v>2700</v>
      </c>
      <c r="AJ51" s="113">
        <v>2500</v>
      </c>
      <c r="AK51" s="113">
        <f>25+3260</f>
        <v>3285</v>
      </c>
      <c r="AL51" s="113"/>
      <c r="AM51" s="155">
        <f t="shared" si="65"/>
        <v>5785</v>
      </c>
      <c r="AN51" s="113"/>
      <c r="AO51" s="113"/>
      <c r="AP51" s="113"/>
      <c r="AQ51" s="155">
        <f t="shared" si="66"/>
        <v>0</v>
      </c>
      <c r="AR51" s="111"/>
      <c r="AS51" s="113">
        <v>1269</v>
      </c>
      <c r="AT51" s="113"/>
      <c r="AU51" s="155">
        <f t="shared" si="67"/>
        <v>1269</v>
      </c>
    </row>
    <row r="52" spans="1:47" ht="15.75">
      <c r="A52" s="95">
        <v>41</v>
      </c>
      <c r="B52" s="154" t="s">
        <v>76</v>
      </c>
      <c r="C52" s="114"/>
      <c r="D52" s="111"/>
      <c r="E52" s="113"/>
      <c r="F52" s="113"/>
      <c r="G52" s="155">
        <f t="shared" si="57"/>
        <v>0</v>
      </c>
      <c r="H52" s="113"/>
      <c r="I52" s="113"/>
      <c r="J52" s="113"/>
      <c r="K52" s="155">
        <f t="shared" si="58"/>
        <v>0</v>
      </c>
      <c r="L52" s="113"/>
      <c r="M52" s="113"/>
      <c r="N52" s="113"/>
      <c r="O52" s="155">
        <f t="shared" si="59"/>
        <v>0</v>
      </c>
      <c r="P52" s="113"/>
      <c r="Q52" s="113"/>
      <c r="R52" s="113"/>
      <c r="S52" s="155">
        <f t="shared" si="60"/>
        <v>0</v>
      </c>
      <c r="T52" s="113"/>
      <c r="U52" s="113"/>
      <c r="V52" s="113"/>
      <c r="W52" s="155">
        <f t="shared" si="61"/>
        <v>0</v>
      </c>
      <c r="X52" s="113"/>
      <c r="Y52" s="113"/>
      <c r="Z52" s="113"/>
      <c r="AA52" s="155">
        <f t="shared" si="62"/>
        <v>0</v>
      </c>
      <c r="AB52" s="113"/>
      <c r="AC52" s="113"/>
      <c r="AD52" s="113"/>
      <c r="AE52" s="155">
        <f t="shared" si="63"/>
        <v>0</v>
      </c>
      <c r="AF52" s="113"/>
      <c r="AG52" s="113"/>
      <c r="AH52" s="113"/>
      <c r="AI52" s="155">
        <f t="shared" si="64"/>
        <v>0</v>
      </c>
      <c r="AJ52" s="113"/>
      <c r="AK52" s="113"/>
      <c r="AL52" s="113"/>
      <c r="AM52" s="155">
        <f t="shared" si="65"/>
        <v>0</v>
      </c>
      <c r="AN52" s="113"/>
      <c r="AO52" s="113"/>
      <c r="AP52" s="113"/>
      <c r="AQ52" s="155">
        <f t="shared" si="66"/>
        <v>0</v>
      </c>
      <c r="AR52" s="111"/>
      <c r="AS52" s="113"/>
      <c r="AT52" s="113"/>
      <c r="AU52" s="155">
        <f t="shared" si="67"/>
        <v>0</v>
      </c>
    </row>
    <row r="53" spans="1:47" ht="16.5" thickBot="1">
      <c r="A53" s="97">
        <v>42</v>
      </c>
      <c r="B53" s="171"/>
      <c r="C53" s="172"/>
      <c r="D53" s="101"/>
      <c r="E53" s="100"/>
      <c r="F53" s="100"/>
      <c r="G53" s="155">
        <f t="shared" si="57"/>
        <v>0</v>
      </c>
      <c r="H53" s="100"/>
      <c r="I53" s="100"/>
      <c r="J53" s="100"/>
      <c r="K53" s="155">
        <f t="shared" si="58"/>
        <v>0</v>
      </c>
      <c r="L53" s="100"/>
      <c r="M53" s="100"/>
      <c r="N53" s="100"/>
      <c r="O53" s="155">
        <f t="shared" si="59"/>
        <v>0</v>
      </c>
      <c r="P53" s="100"/>
      <c r="Q53" s="100"/>
      <c r="R53" s="100"/>
      <c r="S53" s="155">
        <f t="shared" si="60"/>
        <v>0</v>
      </c>
      <c r="T53" s="100"/>
      <c r="U53" s="100"/>
      <c r="V53" s="100"/>
      <c r="W53" s="155">
        <f t="shared" si="61"/>
        <v>0</v>
      </c>
      <c r="X53" s="100"/>
      <c r="Y53" s="100"/>
      <c r="Z53" s="100"/>
      <c r="AA53" s="155">
        <f t="shared" si="62"/>
        <v>0</v>
      </c>
      <c r="AB53" s="100"/>
      <c r="AC53" s="100"/>
      <c r="AD53" s="100"/>
      <c r="AE53" s="155">
        <f t="shared" si="63"/>
        <v>0</v>
      </c>
      <c r="AF53" s="100"/>
      <c r="AG53" s="100"/>
      <c r="AH53" s="100"/>
      <c r="AI53" s="155">
        <f t="shared" si="64"/>
        <v>0</v>
      </c>
      <c r="AJ53" s="100"/>
      <c r="AK53" s="100"/>
      <c r="AL53" s="100"/>
      <c r="AM53" s="155">
        <f t="shared" si="65"/>
        <v>0</v>
      </c>
      <c r="AN53" s="100"/>
      <c r="AO53" s="100"/>
      <c r="AP53" s="100"/>
      <c r="AQ53" s="155">
        <f t="shared" si="66"/>
        <v>0</v>
      </c>
      <c r="AR53" s="101"/>
      <c r="AS53" s="100"/>
      <c r="AT53" s="100"/>
      <c r="AU53" s="155">
        <f t="shared" si="67"/>
        <v>0</v>
      </c>
    </row>
    <row r="54" spans="1:47" ht="16.5" thickBot="1">
      <c r="A54" s="38"/>
      <c r="B54" s="89" t="s">
        <v>77</v>
      </c>
      <c r="C54" s="20"/>
      <c r="D54" s="147">
        <f>SUM(D48:D53)</f>
        <v>7103</v>
      </c>
      <c r="E54" s="147">
        <f t="shared" ref="E54:G54" si="68">SUM(E48:E53)</f>
        <v>53432</v>
      </c>
      <c r="F54" s="147">
        <f t="shared" si="68"/>
        <v>0</v>
      </c>
      <c r="G54" s="147">
        <f t="shared" si="68"/>
        <v>60535</v>
      </c>
      <c r="H54" s="147">
        <f>SUM(H48:H53)</f>
        <v>14545</v>
      </c>
      <c r="I54" s="147">
        <f t="shared" ref="I54:K54" si="69">SUM(I48:I53)</f>
        <v>65948</v>
      </c>
      <c r="J54" s="147">
        <f t="shared" si="69"/>
        <v>0</v>
      </c>
      <c r="K54" s="147">
        <f t="shared" si="69"/>
        <v>80493</v>
      </c>
      <c r="L54" s="147">
        <f>SUM(L48:L53)</f>
        <v>9896</v>
      </c>
      <c r="M54" s="147">
        <f t="shared" ref="M54:O54" si="70">SUM(M48:M53)</f>
        <v>89036</v>
      </c>
      <c r="N54" s="147">
        <f t="shared" si="70"/>
        <v>0</v>
      </c>
      <c r="O54" s="147">
        <f t="shared" si="70"/>
        <v>98932</v>
      </c>
      <c r="P54" s="147">
        <f>SUM(P48:P53)</f>
        <v>13637</v>
      </c>
      <c r="Q54" s="147">
        <f t="shared" ref="Q54:S54" si="71">SUM(Q48:Q53)</f>
        <v>46162</v>
      </c>
      <c r="R54" s="147">
        <f t="shared" si="71"/>
        <v>0</v>
      </c>
      <c r="S54" s="147">
        <f t="shared" si="71"/>
        <v>59799</v>
      </c>
      <c r="T54" s="147">
        <f>SUM(T48:T53)</f>
        <v>12146</v>
      </c>
      <c r="U54" s="147">
        <f t="shared" ref="U54:W54" si="72">SUM(U48:U53)</f>
        <v>25408</v>
      </c>
      <c r="V54" s="147">
        <f t="shared" si="72"/>
        <v>0</v>
      </c>
      <c r="W54" s="147">
        <f t="shared" si="72"/>
        <v>37554</v>
      </c>
      <c r="X54" s="147">
        <f>SUM(X48:X53)</f>
        <v>14069</v>
      </c>
      <c r="Y54" s="147">
        <f t="shared" ref="Y54:AA54" si="73">SUM(Y48:Y53)</f>
        <v>47609</v>
      </c>
      <c r="Z54" s="147">
        <f t="shared" si="73"/>
        <v>0</v>
      </c>
      <c r="AA54" s="147">
        <f t="shared" si="73"/>
        <v>61678</v>
      </c>
      <c r="AB54" s="147">
        <f>SUM(AB48:AB53)</f>
        <v>6040</v>
      </c>
      <c r="AC54" s="147">
        <f t="shared" ref="AC54:AE54" si="74">SUM(AC48:AC53)</f>
        <v>24823</v>
      </c>
      <c r="AD54" s="147">
        <f t="shared" si="74"/>
        <v>0</v>
      </c>
      <c r="AE54" s="147">
        <f t="shared" si="74"/>
        <v>30863</v>
      </c>
      <c r="AF54" s="147">
        <f>SUM(AF48:AF53)</f>
        <v>3700</v>
      </c>
      <c r="AG54" s="147">
        <f t="shared" ref="AG54:AI54" si="75">SUM(AG48:AG53)</f>
        <v>24561</v>
      </c>
      <c r="AH54" s="147">
        <f t="shared" si="75"/>
        <v>0</v>
      </c>
      <c r="AI54" s="147">
        <f t="shared" si="75"/>
        <v>28261</v>
      </c>
      <c r="AJ54" s="147">
        <f>SUM(AJ48:AJ53)</f>
        <v>9042</v>
      </c>
      <c r="AK54" s="147">
        <f t="shared" ref="AK54:AM54" si="76">SUM(AK48:AK53)</f>
        <v>37438</v>
      </c>
      <c r="AL54" s="147">
        <f t="shared" si="76"/>
        <v>0</v>
      </c>
      <c r="AM54" s="147">
        <f t="shared" si="76"/>
        <v>46480</v>
      </c>
      <c r="AN54" s="147">
        <f>SUM(AN48:AN53)</f>
        <v>12150</v>
      </c>
      <c r="AO54" s="147">
        <f t="shared" ref="AO54:AQ54" si="77">SUM(AO48:AO53)</f>
        <v>43527</v>
      </c>
      <c r="AP54" s="147">
        <f t="shared" si="77"/>
        <v>0</v>
      </c>
      <c r="AQ54" s="147">
        <f t="shared" si="77"/>
        <v>55677</v>
      </c>
      <c r="AR54" s="147">
        <f>SUM(AR48:AR53)</f>
        <v>7608</v>
      </c>
      <c r="AS54" s="147">
        <f t="shared" ref="AS54:AU54" si="78">SUM(AS48:AS53)</f>
        <v>161659</v>
      </c>
      <c r="AT54" s="147">
        <f t="shared" si="78"/>
        <v>0</v>
      </c>
      <c r="AU54" s="147">
        <f t="shared" si="78"/>
        <v>169267</v>
      </c>
    </row>
    <row r="55" spans="1:47" ht="16.5" thickBot="1">
      <c r="A55" s="173"/>
      <c r="B55" s="174" t="s">
        <v>10</v>
      </c>
      <c r="C55" s="142"/>
      <c r="D55" s="147">
        <f>D6+D20+D27+D47+D54</f>
        <v>79861</v>
      </c>
      <c r="E55" s="147">
        <f t="shared" ref="E55:G55" si="79">E6+E20+E27+E47+E54</f>
        <v>169770</v>
      </c>
      <c r="F55" s="147">
        <f t="shared" si="79"/>
        <v>4400</v>
      </c>
      <c r="G55" s="147">
        <f t="shared" si="79"/>
        <v>254031</v>
      </c>
      <c r="H55" s="147">
        <f>H6+H20+H27+H47+H54</f>
        <v>58954</v>
      </c>
      <c r="I55" s="147">
        <f t="shared" ref="I55:K55" si="80">I6+I20+I27+I47+I54</f>
        <v>220557</v>
      </c>
      <c r="J55" s="147">
        <f t="shared" si="80"/>
        <v>0</v>
      </c>
      <c r="K55" s="147">
        <f t="shared" si="80"/>
        <v>279511</v>
      </c>
      <c r="L55" s="147">
        <f>L6+L20+L27+L47+L54</f>
        <v>61549</v>
      </c>
      <c r="M55" s="147">
        <f t="shared" ref="M55:O55" si="81">M6+M20+M27+M47+M54</f>
        <v>187729</v>
      </c>
      <c r="N55" s="147">
        <f t="shared" si="81"/>
        <v>0</v>
      </c>
      <c r="O55" s="147">
        <f t="shared" si="81"/>
        <v>249278</v>
      </c>
      <c r="P55" s="147">
        <f>P6+P20+P27+P47+P54</f>
        <v>70513</v>
      </c>
      <c r="Q55" s="147">
        <f t="shared" ref="Q55:S55" si="82">Q6+Q20+Q27+Q47+Q54</f>
        <v>119166</v>
      </c>
      <c r="R55" s="147">
        <f t="shared" si="82"/>
        <v>0</v>
      </c>
      <c r="S55" s="147">
        <f t="shared" si="82"/>
        <v>189679</v>
      </c>
      <c r="T55" s="147">
        <f>T6+T20+T27+T47+T54</f>
        <v>100750</v>
      </c>
      <c r="U55" s="147">
        <f t="shared" ref="U55:W55" si="83">U6+U20+U27+U47+U54</f>
        <v>111531</v>
      </c>
      <c r="V55" s="147">
        <f t="shared" si="83"/>
        <v>0</v>
      </c>
      <c r="W55" s="147">
        <f t="shared" si="83"/>
        <v>212281</v>
      </c>
      <c r="X55" s="147">
        <f>X6+X20+X27+X47+X54</f>
        <v>54920</v>
      </c>
      <c r="Y55" s="147">
        <f t="shared" ref="Y55:AA55" si="84">Y6+Y20+Y27+Y47+Y54</f>
        <v>91782</v>
      </c>
      <c r="Z55" s="147">
        <f t="shared" si="84"/>
        <v>0</v>
      </c>
      <c r="AA55" s="147">
        <f t="shared" si="84"/>
        <v>146702</v>
      </c>
      <c r="AB55" s="147">
        <f>AB6+AB20+AB27+AB47+AB54</f>
        <v>41849</v>
      </c>
      <c r="AC55" s="147">
        <f t="shared" ref="AC55:AE55" si="85">AC6+AC20+AC27+AC47+AC54</f>
        <v>161801</v>
      </c>
      <c r="AD55" s="147">
        <f t="shared" si="85"/>
        <v>1328</v>
      </c>
      <c r="AE55" s="147">
        <f t="shared" si="85"/>
        <v>204978</v>
      </c>
      <c r="AF55" s="147">
        <f>AF6+AF20+AF27+AF47+AF54</f>
        <v>25931</v>
      </c>
      <c r="AG55" s="147">
        <f t="shared" ref="AG55:AI55" si="86">AG6+AG20+AG27+AG47+AG54</f>
        <v>126879</v>
      </c>
      <c r="AH55" s="147">
        <f t="shared" si="86"/>
        <v>0</v>
      </c>
      <c r="AI55" s="147">
        <f t="shared" si="86"/>
        <v>152810</v>
      </c>
      <c r="AJ55" s="147">
        <f>AJ6+AJ20+AJ27+AJ47+AJ54</f>
        <v>35786</v>
      </c>
      <c r="AK55" s="147">
        <f t="shared" ref="AK55:AM55" si="87">AK6+AK20+AK27+AK47+AK54</f>
        <v>157352</v>
      </c>
      <c r="AL55" s="147">
        <f t="shared" si="87"/>
        <v>0</v>
      </c>
      <c r="AM55" s="147">
        <f t="shared" si="87"/>
        <v>193138</v>
      </c>
      <c r="AN55" s="147">
        <f>AN6+AN20+AN27+AN47+AN54</f>
        <v>25791</v>
      </c>
      <c r="AO55" s="147">
        <f t="shared" ref="AO55:AQ55" si="88">AO6+AO20+AO27+AO47+AO54</f>
        <v>168053</v>
      </c>
      <c r="AP55" s="147">
        <f t="shared" si="88"/>
        <v>0</v>
      </c>
      <c r="AQ55" s="147">
        <f t="shared" si="88"/>
        <v>193844</v>
      </c>
      <c r="AR55" s="147">
        <f>AR6+AR20+AR27+AR47+AR54</f>
        <v>23649</v>
      </c>
      <c r="AS55" s="147">
        <f t="shared" ref="AS55:AU55" si="89">AS6+AS20+AS27+AS47+AS54</f>
        <v>315824</v>
      </c>
      <c r="AT55" s="147">
        <f t="shared" si="89"/>
        <v>0</v>
      </c>
      <c r="AU55" s="147">
        <f t="shared" si="89"/>
        <v>339473</v>
      </c>
    </row>
  </sheetData>
  <mergeCells count="13">
    <mergeCell ref="A1:AU1"/>
    <mergeCell ref="A2:AU2"/>
    <mergeCell ref="AB3:AE3"/>
    <mergeCell ref="AF3:AI3"/>
    <mergeCell ref="AJ3:AM3"/>
    <mergeCell ref="AN3:AQ3"/>
    <mergeCell ref="AR3:AU3"/>
    <mergeCell ref="X3:AA3"/>
    <mergeCell ref="D3:G3"/>
    <mergeCell ref="H3:K3"/>
    <mergeCell ref="L3:O3"/>
    <mergeCell ref="P3:S3"/>
    <mergeCell ref="T3:W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5"/>
  <sheetViews>
    <sheetView workbookViewId="0">
      <selection sqref="A1:W2"/>
    </sheetView>
  </sheetViews>
  <sheetFormatPr defaultRowHeight="15"/>
  <sheetData>
    <row r="1" spans="1:23" ht="18.75">
      <c r="A1" s="254" t="s">
        <v>171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</row>
    <row r="2" spans="1:23" ht="15.75">
      <c r="A2" s="255" t="s">
        <v>87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</row>
    <row r="3" spans="1:23" ht="15.75">
      <c r="A3" s="175" t="s">
        <v>80</v>
      </c>
      <c r="B3" s="175" t="s">
        <v>4</v>
      </c>
      <c r="C3" s="175" t="s">
        <v>88</v>
      </c>
      <c r="D3" s="176" t="s">
        <v>89</v>
      </c>
      <c r="E3" s="176" t="s">
        <v>90</v>
      </c>
      <c r="F3" s="176" t="s">
        <v>91</v>
      </c>
      <c r="G3" s="176" t="s">
        <v>92</v>
      </c>
      <c r="H3" s="176" t="s">
        <v>93</v>
      </c>
      <c r="I3" s="175" t="s">
        <v>94</v>
      </c>
      <c r="J3" s="177" t="s">
        <v>95</v>
      </c>
      <c r="K3" s="178" t="s">
        <v>96</v>
      </c>
      <c r="L3" s="176" t="s">
        <v>97</v>
      </c>
      <c r="M3" s="176" t="s">
        <v>98</v>
      </c>
      <c r="N3" s="176" t="s">
        <v>99</v>
      </c>
      <c r="O3" s="176" t="s">
        <v>100</v>
      </c>
      <c r="P3" s="176" t="s">
        <v>101</v>
      </c>
      <c r="Q3" s="176" t="s">
        <v>102</v>
      </c>
      <c r="R3" s="176" t="s">
        <v>103</v>
      </c>
      <c r="S3" s="176" t="s">
        <v>104</v>
      </c>
      <c r="T3" s="176" t="s">
        <v>105</v>
      </c>
      <c r="U3" s="176" t="s">
        <v>10</v>
      </c>
    </row>
    <row r="4" spans="1:23" ht="15.75">
      <c r="A4" s="164"/>
      <c r="B4" s="164"/>
      <c r="C4" s="164"/>
      <c r="D4" s="113"/>
      <c r="E4" s="113"/>
      <c r="F4" s="113"/>
      <c r="G4" s="113"/>
      <c r="H4" s="113"/>
      <c r="I4" s="164"/>
      <c r="J4" s="179"/>
      <c r="K4" s="180"/>
      <c r="L4" s="113" t="s">
        <v>106</v>
      </c>
      <c r="M4" s="113" t="s">
        <v>107</v>
      </c>
      <c r="N4" s="113"/>
      <c r="O4" s="113"/>
      <c r="P4" s="113"/>
      <c r="Q4" s="113"/>
      <c r="R4" s="113" t="s">
        <v>104</v>
      </c>
      <c r="S4" s="113" t="s">
        <v>108</v>
      </c>
      <c r="T4" s="113" t="s">
        <v>109</v>
      </c>
      <c r="U4" s="113"/>
    </row>
    <row r="5" spans="1:23" ht="15.75">
      <c r="A5" s="181">
        <v>1</v>
      </c>
      <c r="B5" s="181" t="s">
        <v>12</v>
      </c>
      <c r="C5" s="10">
        <f>76+45.12</f>
        <v>121.12</v>
      </c>
      <c r="D5" s="10">
        <f>0.5+4.9</f>
        <v>5.4</v>
      </c>
      <c r="E5" s="10">
        <f>134+118.48</f>
        <v>252.48000000000002</v>
      </c>
      <c r="F5" s="10">
        <f>2+1.26</f>
        <v>3.26</v>
      </c>
      <c r="G5" s="10"/>
      <c r="H5" s="10">
        <f>2.5+2.5</f>
        <v>5</v>
      </c>
      <c r="I5" s="10"/>
      <c r="J5" s="10">
        <f>1+0.3</f>
        <v>1.3</v>
      </c>
      <c r="K5" s="10"/>
      <c r="L5" s="10">
        <f>30+93.58</f>
        <v>123.58</v>
      </c>
      <c r="M5" s="10"/>
      <c r="N5" s="10"/>
      <c r="O5" s="10"/>
      <c r="P5" s="10"/>
      <c r="Q5" s="10"/>
      <c r="R5" s="10"/>
      <c r="S5" s="10"/>
      <c r="T5" s="10"/>
      <c r="U5" s="182">
        <f t="shared" ref="U5:U15" si="0">SUM(C5:T5)</f>
        <v>512.14</v>
      </c>
    </row>
    <row r="6" spans="1:23" ht="15.75">
      <c r="A6" s="181">
        <v>2</v>
      </c>
      <c r="B6" s="181" t="s">
        <v>13</v>
      </c>
      <c r="C6" s="10">
        <f>55+47.55</f>
        <v>102.55</v>
      </c>
      <c r="D6" s="10">
        <v>7.56</v>
      </c>
      <c r="E6" s="10">
        <f>110.01+118.89</f>
        <v>228.9</v>
      </c>
      <c r="F6" s="10">
        <f>10+1.2</f>
        <v>11.2</v>
      </c>
      <c r="G6" s="10"/>
      <c r="H6" s="10">
        <f>3.3+2.59</f>
        <v>5.89</v>
      </c>
      <c r="I6" s="10"/>
      <c r="J6" s="10">
        <v>0.1</v>
      </c>
      <c r="K6" s="10"/>
      <c r="L6" s="10">
        <f>60+110.75</f>
        <v>170.75</v>
      </c>
      <c r="M6" s="10"/>
      <c r="N6" s="10"/>
      <c r="O6" s="10"/>
      <c r="P6" s="10"/>
      <c r="Q6" s="10"/>
      <c r="R6" s="10"/>
      <c r="S6" s="10"/>
      <c r="T6" s="10"/>
      <c r="U6" s="182">
        <f t="shared" si="0"/>
        <v>526.95000000000005</v>
      </c>
    </row>
    <row r="7" spans="1:23" ht="15.75">
      <c r="A7" s="181">
        <v>3</v>
      </c>
      <c r="B7" s="181" t="s">
        <v>14</v>
      </c>
      <c r="C7" s="10">
        <f>33.94+29.2</f>
        <v>63.14</v>
      </c>
      <c r="D7" s="10">
        <f>0.14+4.7</f>
        <v>4.84</v>
      </c>
      <c r="E7" s="10">
        <f>147+55.2</f>
        <v>202.2</v>
      </c>
      <c r="F7" s="10">
        <f>2.4+0.7</f>
        <v>3.0999999999999996</v>
      </c>
      <c r="G7" s="10"/>
      <c r="H7" s="10">
        <f>5.56+6.66</f>
        <v>12.219999999999999</v>
      </c>
      <c r="I7" s="10"/>
      <c r="J7" s="10">
        <f>0.6+0.1</f>
        <v>0.7</v>
      </c>
      <c r="K7" s="10"/>
      <c r="L7" s="10">
        <f>69.86+202.48</f>
        <v>272.33999999999997</v>
      </c>
      <c r="M7" s="10"/>
      <c r="N7" s="10"/>
      <c r="O7" s="10"/>
      <c r="P7" s="10"/>
      <c r="Q7" s="10"/>
      <c r="R7" s="10"/>
      <c r="S7" s="10"/>
      <c r="T7" s="10"/>
      <c r="U7" s="183">
        <f t="shared" si="0"/>
        <v>558.54</v>
      </c>
    </row>
    <row r="8" spans="1:23" ht="15.75">
      <c r="A8" s="181">
        <v>4</v>
      </c>
      <c r="B8" s="181" t="s">
        <v>15</v>
      </c>
      <c r="C8" s="10">
        <f>50.5+28.65</f>
        <v>79.150000000000006</v>
      </c>
      <c r="D8" s="10">
        <f>4.5+4.67</f>
        <v>9.17</v>
      </c>
      <c r="E8" s="10">
        <f>73+44.89</f>
        <v>117.89</v>
      </c>
      <c r="F8" s="10">
        <f>2.5+0.7</f>
        <v>3.2</v>
      </c>
      <c r="G8" s="10"/>
      <c r="H8" s="10">
        <f>6.55+7.09</f>
        <v>13.64</v>
      </c>
      <c r="I8" s="10"/>
      <c r="J8" s="10">
        <f>2.05+0.1</f>
        <v>2.15</v>
      </c>
      <c r="K8" s="10"/>
      <c r="L8" s="10">
        <f>15+174.76+55.6</f>
        <v>245.35999999999999</v>
      </c>
      <c r="M8" s="10"/>
      <c r="N8" s="10"/>
      <c r="O8" s="10"/>
      <c r="P8" s="10"/>
      <c r="Q8" s="10"/>
      <c r="R8" s="10"/>
      <c r="S8" s="10"/>
      <c r="T8" s="10">
        <v>0.86</v>
      </c>
      <c r="U8" s="182">
        <f t="shared" si="0"/>
        <v>471.42</v>
      </c>
    </row>
    <row r="9" spans="1:23" ht="15.75">
      <c r="A9" s="181">
        <v>5</v>
      </c>
      <c r="B9" s="181" t="s">
        <v>16</v>
      </c>
      <c r="C9" s="10">
        <f>24.55+28.65</f>
        <v>53.2</v>
      </c>
      <c r="D9" s="10">
        <f>2.5+7.07</f>
        <v>9.57</v>
      </c>
      <c r="E9" s="10">
        <f>62.29+44.89</f>
        <v>107.18</v>
      </c>
      <c r="F9" s="10">
        <f>1.05+0.5</f>
        <v>1.55</v>
      </c>
      <c r="G9" s="10"/>
      <c r="H9" s="10">
        <f>4.89+7.1</f>
        <v>11.989999999999998</v>
      </c>
      <c r="I9" s="10"/>
      <c r="J9" s="10">
        <v>0.59</v>
      </c>
      <c r="K9" s="10"/>
      <c r="L9" s="10">
        <f>224.83+19</f>
        <v>243.83</v>
      </c>
      <c r="M9" s="10"/>
      <c r="N9" s="10"/>
      <c r="O9" s="10"/>
      <c r="P9" s="10"/>
      <c r="Q9" s="10">
        <v>1.5</v>
      </c>
      <c r="R9" s="10"/>
      <c r="S9" s="10"/>
      <c r="T9" s="10"/>
      <c r="U9" s="182">
        <f t="shared" si="0"/>
        <v>429.41000000000008</v>
      </c>
    </row>
    <row r="10" spans="1:23" ht="15.75">
      <c r="A10" s="181">
        <v>6</v>
      </c>
      <c r="B10" s="181" t="s">
        <v>17</v>
      </c>
      <c r="C10" s="10">
        <f>7+29.21</f>
        <v>36.21</v>
      </c>
      <c r="D10" s="10">
        <v>8.15</v>
      </c>
      <c r="E10" s="10">
        <f>44+46.39</f>
        <v>90.39</v>
      </c>
      <c r="F10" s="10">
        <f>1+0.5</f>
        <v>1.5</v>
      </c>
      <c r="G10" s="10">
        <f>0</f>
        <v>0</v>
      </c>
      <c r="H10" s="10">
        <f>6.5+7.1</f>
        <v>13.6</v>
      </c>
      <c r="I10" s="10"/>
      <c r="J10" s="10"/>
      <c r="K10" s="10"/>
      <c r="L10" s="10">
        <f>1+226.7</f>
        <v>227.7</v>
      </c>
      <c r="M10" s="10"/>
      <c r="N10" s="10"/>
      <c r="O10" s="10"/>
      <c r="P10" s="10"/>
      <c r="Q10" s="10"/>
      <c r="R10" s="10"/>
      <c r="S10" s="10"/>
      <c r="T10" s="10"/>
      <c r="U10" s="182">
        <f t="shared" si="0"/>
        <v>377.54999999999995</v>
      </c>
    </row>
    <row r="11" spans="1:23" ht="15.75">
      <c r="A11" s="181">
        <v>7</v>
      </c>
      <c r="B11" s="181" t="s">
        <v>18</v>
      </c>
      <c r="C11" s="10">
        <f>1.8+30.57</f>
        <v>32.369999999999997</v>
      </c>
      <c r="D11" s="10">
        <f>0.2+4.81</f>
        <v>5.01</v>
      </c>
      <c r="E11" s="10">
        <f>25.14+57.71</f>
        <v>82.85</v>
      </c>
      <c r="F11" s="10">
        <v>0.74</v>
      </c>
      <c r="G11" s="10"/>
      <c r="H11" s="10">
        <f>10.06+6.98</f>
        <v>17.04</v>
      </c>
      <c r="I11" s="10"/>
      <c r="J11" s="10">
        <f>0.25+0.11</f>
        <v>0.36</v>
      </c>
      <c r="K11" s="10"/>
      <c r="L11" s="10">
        <f>3+208.29</f>
        <v>211.29</v>
      </c>
      <c r="M11" s="10"/>
      <c r="N11" s="10"/>
      <c r="O11" s="10"/>
      <c r="P11" s="10"/>
      <c r="Q11" s="10"/>
      <c r="R11" s="10"/>
      <c r="S11" s="10"/>
      <c r="T11" s="10"/>
      <c r="U11" s="182">
        <f t="shared" si="0"/>
        <v>349.65999999999997</v>
      </c>
    </row>
    <row r="12" spans="1:23" ht="15.75">
      <c r="A12" s="181">
        <v>8</v>
      </c>
      <c r="B12" s="181" t="s">
        <v>19</v>
      </c>
      <c r="C12" s="10">
        <f>2+15.57</f>
        <v>17.57</v>
      </c>
      <c r="D12" s="10">
        <v>20.96</v>
      </c>
      <c r="E12" s="10">
        <f>15+40.71</f>
        <v>55.71</v>
      </c>
      <c r="F12" s="10">
        <v>0.74</v>
      </c>
      <c r="G12" s="10">
        <v>0</v>
      </c>
      <c r="H12" s="10">
        <f>1.3+8.98</f>
        <v>10.280000000000001</v>
      </c>
      <c r="I12" s="10"/>
      <c r="J12" s="10">
        <f>0.37+0.1</f>
        <v>0.47</v>
      </c>
      <c r="K12" s="10"/>
      <c r="L12" s="10">
        <f>1+168.3</f>
        <v>169.3</v>
      </c>
      <c r="M12" s="10"/>
      <c r="N12" s="10"/>
      <c r="O12" s="10"/>
      <c r="P12" s="10"/>
      <c r="Q12" s="10"/>
      <c r="R12" s="10"/>
      <c r="S12" s="10"/>
      <c r="T12" s="10"/>
      <c r="U12" s="182">
        <f t="shared" si="0"/>
        <v>275.03000000000003</v>
      </c>
    </row>
    <row r="13" spans="1:23" ht="15.75">
      <c r="A13" s="181">
        <v>9</v>
      </c>
      <c r="B13" s="181" t="s">
        <v>20</v>
      </c>
      <c r="C13" s="10">
        <f>19</f>
        <v>19</v>
      </c>
      <c r="D13" s="10">
        <v>35</v>
      </c>
      <c r="E13" s="10">
        <f>44.9+22</f>
        <v>66.900000000000006</v>
      </c>
      <c r="F13" s="10">
        <v>0.5</v>
      </c>
      <c r="G13" s="10"/>
      <c r="H13" s="10">
        <f>2.65+18.4</f>
        <v>21.049999999999997</v>
      </c>
      <c r="I13" s="10"/>
      <c r="J13" s="10">
        <f>1.05</f>
        <v>1.05</v>
      </c>
      <c r="K13" s="10"/>
      <c r="L13" s="10">
        <f>3.44+172.8</f>
        <v>176.24</v>
      </c>
      <c r="M13" s="10"/>
      <c r="N13" s="10"/>
      <c r="O13" s="10"/>
      <c r="P13" s="10"/>
      <c r="Q13" s="10"/>
      <c r="R13" s="10"/>
      <c r="S13" s="10"/>
      <c r="T13" s="10"/>
      <c r="U13" s="182">
        <f t="shared" si="0"/>
        <v>319.74</v>
      </c>
    </row>
    <row r="14" spans="1:23" ht="15.75">
      <c r="A14" s="175">
        <v>10</v>
      </c>
      <c r="B14" s="175" t="s">
        <v>21</v>
      </c>
      <c r="C14" s="184">
        <v>15.52</v>
      </c>
      <c r="D14" s="184">
        <v>33</v>
      </c>
      <c r="E14" s="184">
        <v>38.840000000000003</v>
      </c>
      <c r="F14" s="184"/>
      <c r="G14" s="184"/>
      <c r="H14" s="184">
        <v>22.24</v>
      </c>
      <c r="I14" s="184"/>
      <c r="J14" s="184">
        <v>0.28000000000000003</v>
      </c>
      <c r="K14" s="184"/>
      <c r="L14" s="184">
        <v>158.52000000000001</v>
      </c>
      <c r="M14" s="184"/>
      <c r="N14" s="184"/>
      <c r="O14" s="184"/>
      <c r="P14" s="184"/>
      <c r="Q14" s="184"/>
      <c r="R14" s="184"/>
      <c r="S14" s="184"/>
      <c r="T14" s="184"/>
      <c r="U14" s="185">
        <f t="shared" si="0"/>
        <v>268.39999999999998</v>
      </c>
    </row>
    <row r="15" spans="1:23" ht="15.75">
      <c r="A15" s="181">
        <v>11</v>
      </c>
      <c r="B15" s="181" t="s">
        <v>22</v>
      </c>
      <c r="C15" s="10">
        <f>0.48+5</f>
        <v>5.48</v>
      </c>
      <c r="D15" s="10">
        <f>28.5</f>
        <v>28.5</v>
      </c>
      <c r="E15" s="10">
        <f>7.32+10.5</f>
        <v>17.82</v>
      </c>
      <c r="F15" s="10"/>
      <c r="G15" s="10"/>
      <c r="H15" s="10">
        <f>2.68+11.5</f>
        <v>14.18</v>
      </c>
      <c r="I15" s="10"/>
      <c r="J15" s="10">
        <v>0.38</v>
      </c>
      <c r="K15" s="10"/>
      <c r="L15" s="10">
        <f>81.79+19</f>
        <v>100.79</v>
      </c>
      <c r="M15" s="10"/>
      <c r="N15" s="10"/>
      <c r="O15" s="10"/>
      <c r="P15" s="10"/>
      <c r="Q15" s="10"/>
      <c r="R15" s="10"/>
      <c r="S15" s="10"/>
      <c r="T15" s="10"/>
      <c r="U15" s="182">
        <f t="shared" si="0"/>
        <v>167.15</v>
      </c>
    </row>
  </sheetData>
  <mergeCells count="2">
    <mergeCell ref="A1:W1"/>
    <mergeCell ref="A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A2" sqref="A2:N2"/>
    </sheetView>
  </sheetViews>
  <sheetFormatPr defaultRowHeight="15"/>
  <sheetData>
    <row r="2" spans="1:14" ht="19.5" thickBot="1">
      <c r="A2" s="253" t="s">
        <v>110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>
      <c r="A3" s="186"/>
      <c r="B3" s="245" t="s">
        <v>111</v>
      </c>
      <c r="C3" s="245"/>
      <c r="D3" s="246"/>
      <c r="E3" s="245" t="s">
        <v>112</v>
      </c>
      <c r="F3" s="245"/>
      <c r="G3" s="246"/>
      <c r="H3" s="245" t="s">
        <v>113</v>
      </c>
      <c r="I3" s="245"/>
      <c r="J3" s="187" t="s">
        <v>114</v>
      </c>
      <c r="K3" s="247" t="s">
        <v>115</v>
      </c>
      <c r="L3" s="248"/>
      <c r="M3" s="188" t="s">
        <v>116</v>
      </c>
      <c r="N3" s="189"/>
    </row>
    <row r="4" spans="1:14" ht="15.75" thickBot="1">
      <c r="A4" s="190"/>
      <c r="B4" s="191"/>
      <c r="C4" s="191"/>
      <c r="D4" s="192"/>
      <c r="E4" s="191" t="s">
        <v>79</v>
      </c>
      <c r="F4" s="191"/>
      <c r="G4" s="192"/>
      <c r="H4" s="191" t="s">
        <v>79</v>
      </c>
      <c r="I4" s="191"/>
      <c r="J4" s="193" t="s">
        <v>117</v>
      </c>
      <c r="K4" s="194" t="s">
        <v>118</v>
      </c>
      <c r="L4" s="195"/>
      <c r="M4" s="194" t="s">
        <v>119</v>
      </c>
      <c r="N4" s="195"/>
    </row>
    <row r="5" spans="1:14" ht="15.75" thickBot="1">
      <c r="A5" s="190" t="s">
        <v>4</v>
      </c>
      <c r="B5" s="187" t="s">
        <v>120</v>
      </c>
      <c r="C5" s="196" t="s">
        <v>121</v>
      </c>
      <c r="D5" s="196" t="s">
        <v>10</v>
      </c>
      <c r="E5" s="187" t="s">
        <v>120</v>
      </c>
      <c r="F5" s="196" t="s">
        <v>121</v>
      </c>
      <c r="G5" s="196" t="s">
        <v>10</v>
      </c>
      <c r="H5" s="187" t="s">
        <v>122</v>
      </c>
      <c r="I5" s="196" t="s">
        <v>123</v>
      </c>
      <c r="J5" s="193" t="s">
        <v>124</v>
      </c>
      <c r="K5" s="249" t="s">
        <v>125</v>
      </c>
      <c r="L5" s="250"/>
      <c r="M5" s="194" t="s">
        <v>126</v>
      </c>
      <c r="N5" s="195"/>
    </row>
    <row r="6" spans="1:14">
      <c r="A6" s="190"/>
      <c r="B6" s="193" t="s">
        <v>127</v>
      </c>
      <c r="C6" s="197" t="s">
        <v>127</v>
      </c>
      <c r="D6" s="197" t="s">
        <v>128</v>
      </c>
      <c r="E6" s="193" t="s">
        <v>127</v>
      </c>
      <c r="F6" s="197" t="s">
        <v>127</v>
      </c>
      <c r="G6" s="197" t="s">
        <v>128</v>
      </c>
      <c r="H6" s="198"/>
      <c r="I6" s="192"/>
      <c r="J6" s="193" t="s">
        <v>129</v>
      </c>
      <c r="K6" s="187" t="s">
        <v>130</v>
      </c>
      <c r="L6" s="196" t="s">
        <v>123</v>
      </c>
      <c r="M6" s="199" t="s">
        <v>130</v>
      </c>
      <c r="N6" s="187" t="s">
        <v>123</v>
      </c>
    </row>
    <row r="7" spans="1:14" ht="15.75" thickBot="1">
      <c r="A7" s="200"/>
      <c r="B7" s="201"/>
      <c r="C7" s="202"/>
      <c r="D7" s="202"/>
      <c r="E7" s="201"/>
      <c r="F7" s="202"/>
      <c r="G7" s="202"/>
      <c r="H7" s="201"/>
      <c r="I7" s="202"/>
      <c r="J7" s="203"/>
      <c r="K7" s="203" t="s">
        <v>131</v>
      </c>
      <c r="L7" s="204" t="s">
        <v>132</v>
      </c>
      <c r="M7" s="205" t="s">
        <v>133</v>
      </c>
      <c r="N7" s="203" t="s">
        <v>132</v>
      </c>
    </row>
    <row r="8" spans="1:14">
      <c r="A8" s="206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1:14" ht="15.75">
      <c r="A9" s="208" t="s">
        <v>12</v>
      </c>
      <c r="B9" s="57">
        <v>0</v>
      </c>
      <c r="C9" s="181">
        <v>19200</v>
      </c>
      <c r="D9" s="61">
        <v>19200</v>
      </c>
      <c r="E9" s="57">
        <v>130</v>
      </c>
      <c r="F9" s="181">
        <v>960</v>
      </c>
      <c r="G9" s="61">
        <v>1090</v>
      </c>
      <c r="H9" s="57">
        <v>0</v>
      </c>
      <c r="I9" s="61">
        <v>0</v>
      </c>
      <c r="J9" s="209">
        <v>60</v>
      </c>
      <c r="K9" s="57">
        <v>0</v>
      </c>
      <c r="L9" s="61">
        <v>0</v>
      </c>
      <c r="M9" s="57"/>
      <c r="N9" s="61"/>
    </row>
    <row r="10" spans="1:14" ht="15.75">
      <c r="A10" s="63" t="s">
        <v>13</v>
      </c>
      <c r="B10" s="57">
        <v>101</v>
      </c>
      <c r="C10" s="181">
        <v>12899</v>
      </c>
      <c r="D10" s="61">
        <v>13000</v>
      </c>
      <c r="E10" s="57">
        <v>115</v>
      </c>
      <c r="F10" s="181">
        <v>650</v>
      </c>
      <c r="G10" s="61">
        <v>765</v>
      </c>
      <c r="H10" s="57">
        <v>0</v>
      </c>
      <c r="I10" s="61">
        <v>0</v>
      </c>
      <c r="J10" s="209">
        <v>126</v>
      </c>
      <c r="K10" s="57">
        <v>50</v>
      </c>
      <c r="L10" s="61">
        <v>1</v>
      </c>
      <c r="M10" s="57">
        <v>50</v>
      </c>
      <c r="N10" s="61">
        <v>1</v>
      </c>
    </row>
    <row r="11" spans="1:14" ht="15.75">
      <c r="A11" s="63" t="s">
        <v>14</v>
      </c>
      <c r="B11" s="57"/>
      <c r="C11" s="181">
        <v>17197</v>
      </c>
      <c r="D11" s="61">
        <v>17197</v>
      </c>
      <c r="E11" s="57">
        <v>105</v>
      </c>
      <c r="F11" s="181">
        <v>650</v>
      </c>
      <c r="G11" s="61">
        <v>755</v>
      </c>
      <c r="H11" s="57">
        <v>0</v>
      </c>
      <c r="I11" s="61">
        <v>61</v>
      </c>
      <c r="J11" s="209"/>
      <c r="K11" s="57"/>
      <c r="L11" s="61"/>
      <c r="M11" s="57"/>
      <c r="N11" s="61"/>
    </row>
    <row r="12" spans="1:14" ht="15.75">
      <c r="A12" s="63" t="s">
        <v>15</v>
      </c>
      <c r="B12" s="57">
        <v>170</v>
      </c>
      <c r="C12" s="181">
        <v>85407</v>
      </c>
      <c r="D12" s="61">
        <v>85577</v>
      </c>
      <c r="E12" s="57">
        <v>105</v>
      </c>
      <c r="F12" s="181">
        <v>200</v>
      </c>
      <c r="G12" s="61">
        <v>305</v>
      </c>
      <c r="H12" s="57">
        <v>0</v>
      </c>
      <c r="I12" s="61">
        <v>0</v>
      </c>
      <c r="J12" s="209">
        <v>0</v>
      </c>
      <c r="K12" s="57">
        <v>0</v>
      </c>
      <c r="L12" s="61">
        <v>0</v>
      </c>
      <c r="M12" s="57">
        <v>50</v>
      </c>
      <c r="N12" s="61">
        <v>0</v>
      </c>
    </row>
    <row r="13" spans="1:14" ht="15.75">
      <c r="A13" s="63" t="s">
        <v>16</v>
      </c>
      <c r="B13" s="57">
        <v>71</v>
      </c>
      <c r="C13" s="181">
        <v>9479</v>
      </c>
      <c r="D13" s="61">
        <v>9550</v>
      </c>
      <c r="E13" s="57">
        <v>90</v>
      </c>
      <c r="F13" s="181">
        <v>350</v>
      </c>
      <c r="G13" s="61">
        <v>440</v>
      </c>
      <c r="H13" s="57">
        <v>0</v>
      </c>
      <c r="I13" s="61">
        <v>0</v>
      </c>
      <c r="J13" s="209">
        <v>84</v>
      </c>
      <c r="K13" s="57"/>
      <c r="L13" s="61"/>
      <c r="M13" s="57">
        <f>102+50</f>
        <v>152</v>
      </c>
      <c r="N13" s="61">
        <f>4</f>
        <v>4</v>
      </c>
    </row>
    <row r="14" spans="1:14" ht="15.75">
      <c r="A14" s="63" t="s">
        <v>17</v>
      </c>
      <c r="B14" s="57">
        <v>292</v>
      </c>
      <c r="C14" s="181">
        <v>11998</v>
      </c>
      <c r="D14" s="61">
        <v>12290</v>
      </c>
      <c r="E14" s="57">
        <v>85</v>
      </c>
      <c r="F14" s="181">
        <v>500</v>
      </c>
      <c r="G14" s="61">
        <v>585</v>
      </c>
      <c r="H14" s="57"/>
      <c r="I14" s="61"/>
      <c r="J14" s="209"/>
      <c r="K14" s="57"/>
      <c r="L14" s="61"/>
      <c r="M14" s="57"/>
      <c r="N14" s="61">
        <v>3</v>
      </c>
    </row>
    <row r="15" spans="1:14" ht="15.75">
      <c r="A15" s="63" t="s">
        <v>18</v>
      </c>
      <c r="B15" s="57">
        <v>181</v>
      </c>
      <c r="C15" s="181">
        <v>3479</v>
      </c>
      <c r="D15" s="61">
        <v>3660</v>
      </c>
      <c r="E15" s="57">
        <v>85</v>
      </c>
      <c r="F15" s="181">
        <v>3534</v>
      </c>
      <c r="G15" s="61">
        <v>3619</v>
      </c>
      <c r="H15" s="57">
        <v>0</v>
      </c>
      <c r="I15" s="61">
        <v>0</v>
      </c>
      <c r="J15" s="209">
        <v>0</v>
      </c>
      <c r="K15" s="57">
        <v>0</v>
      </c>
      <c r="L15" s="61">
        <v>0</v>
      </c>
      <c r="M15" s="57">
        <v>0</v>
      </c>
      <c r="N15" s="61">
        <v>0</v>
      </c>
    </row>
    <row r="16" spans="1:14" ht="15.75">
      <c r="A16" s="63" t="s">
        <v>19</v>
      </c>
      <c r="B16" s="57">
        <v>440</v>
      </c>
      <c r="C16" s="181">
        <v>7200</v>
      </c>
      <c r="D16" s="61">
        <v>7640</v>
      </c>
      <c r="E16" s="57">
        <v>90</v>
      </c>
      <c r="F16" s="181">
        <v>600</v>
      </c>
      <c r="G16" s="61">
        <v>690</v>
      </c>
      <c r="H16" s="57">
        <v>1</v>
      </c>
      <c r="I16" s="61">
        <v>11</v>
      </c>
      <c r="J16" s="209"/>
      <c r="K16" s="57"/>
      <c r="L16" s="61"/>
      <c r="M16" s="57"/>
      <c r="N16" s="61"/>
    </row>
    <row r="17" spans="1:14" ht="15.75">
      <c r="A17" s="63" t="s">
        <v>20</v>
      </c>
      <c r="B17" s="57">
        <v>192</v>
      </c>
      <c r="C17" s="181">
        <v>58564</v>
      </c>
      <c r="D17" s="61">
        <v>58756</v>
      </c>
      <c r="E17" s="57">
        <v>102</v>
      </c>
      <c r="F17" s="181">
        <v>2662</v>
      </c>
      <c r="G17" s="61">
        <v>2764</v>
      </c>
      <c r="H17" s="57">
        <v>0</v>
      </c>
      <c r="I17" s="61">
        <v>0</v>
      </c>
      <c r="J17" s="209">
        <v>61</v>
      </c>
      <c r="K17" s="57">
        <v>0</v>
      </c>
      <c r="L17" s="61">
        <v>0</v>
      </c>
      <c r="M17" s="57">
        <v>0</v>
      </c>
      <c r="N17" s="61">
        <v>0</v>
      </c>
    </row>
    <row r="18" spans="1:14" ht="15.75">
      <c r="A18" s="63" t="s">
        <v>21</v>
      </c>
      <c r="B18" s="57">
        <v>200</v>
      </c>
      <c r="C18" s="181">
        <v>34244</v>
      </c>
      <c r="D18" s="61">
        <v>34444</v>
      </c>
      <c r="E18" s="57">
        <v>80</v>
      </c>
      <c r="F18" s="181">
        <v>3062</v>
      </c>
      <c r="G18" s="61">
        <v>3142</v>
      </c>
      <c r="H18" s="57"/>
      <c r="I18" s="61"/>
      <c r="J18" s="209"/>
      <c r="K18" s="57"/>
      <c r="L18" s="61"/>
      <c r="M18" s="57">
        <v>600</v>
      </c>
      <c r="N18" s="61">
        <v>12</v>
      </c>
    </row>
    <row r="19" spans="1:14" ht="15.75">
      <c r="A19" s="63" t="s">
        <v>22</v>
      </c>
      <c r="B19" s="57">
        <v>150</v>
      </c>
      <c r="C19" s="181">
        <v>53600</v>
      </c>
      <c r="D19" s="61">
        <v>53750</v>
      </c>
      <c r="E19" s="57">
        <v>80</v>
      </c>
      <c r="F19" s="181">
        <v>3162</v>
      </c>
      <c r="G19" s="61">
        <v>3242</v>
      </c>
      <c r="H19" s="57">
        <v>0</v>
      </c>
      <c r="I19" s="61">
        <v>0</v>
      </c>
      <c r="J19" s="209">
        <v>37</v>
      </c>
      <c r="K19" s="57">
        <v>0</v>
      </c>
      <c r="L19" s="61">
        <v>0</v>
      </c>
      <c r="M19" s="57">
        <v>0</v>
      </c>
      <c r="N19" s="61">
        <v>0</v>
      </c>
    </row>
  </sheetData>
  <mergeCells count="6">
    <mergeCell ref="A2:N2"/>
    <mergeCell ref="B3:D3"/>
    <mergeCell ref="E3:G3"/>
    <mergeCell ref="H3:I3"/>
    <mergeCell ref="K3:L3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sqref="A1:R2"/>
    </sheetView>
  </sheetViews>
  <sheetFormatPr defaultRowHeight="15"/>
  <sheetData>
    <row r="1" spans="1:18" ht="18.75">
      <c r="A1" s="251" t="s">
        <v>170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1:18">
      <c r="A2" s="252" t="s">
        <v>79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>
      <c r="A3" s="210" t="s">
        <v>134</v>
      </c>
      <c r="B3" s="210" t="s">
        <v>135</v>
      </c>
      <c r="C3" s="210" t="s">
        <v>136</v>
      </c>
      <c r="D3" s="210" t="s">
        <v>137</v>
      </c>
      <c r="E3" s="211" t="s">
        <v>138</v>
      </c>
      <c r="F3" s="211" t="s">
        <v>139</v>
      </c>
      <c r="G3" s="212" t="s">
        <v>140</v>
      </c>
      <c r="H3" s="212" t="s">
        <v>141</v>
      </c>
      <c r="I3" s="212" t="s">
        <v>142</v>
      </c>
      <c r="J3" s="212" t="s">
        <v>143</v>
      </c>
      <c r="K3" s="211" t="s">
        <v>144</v>
      </c>
      <c r="L3" s="213" t="s">
        <v>145</v>
      </c>
      <c r="M3" s="214" t="s">
        <v>146</v>
      </c>
      <c r="N3" s="213" t="s">
        <v>10</v>
      </c>
      <c r="O3" s="215" t="s">
        <v>147</v>
      </c>
      <c r="P3" s="216"/>
      <c r="Q3" s="217"/>
      <c r="R3" s="218"/>
    </row>
    <row r="4" spans="1:18">
      <c r="A4" s="219" t="s">
        <v>148</v>
      </c>
      <c r="B4" s="219"/>
      <c r="C4" s="219" t="s">
        <v>149</v>
      </c>
      <c r="D4" s="219" t="s">
        <v>150</v>
      </c>
      <c r="E4" s="220" t="s">
        <v>151</v>
      </c>
      <c r="F4" s="220" t="s">
        <v>152</v>
      </c>
      <c r="G4" s="221" t="s">
        <v>153</v>
      </c>
      <c r="H4" s="221" t="s">
        <v>154</v>
      </c>
      <c r="I4" s="221" t="s">
        <v>155</v>
      </c>
      <c r="J4" s="221" t="s">
        <v>156</v>
      </c>
      <c r="K4" s="220" t="s">
        <v>157</v>
      </c>
      <c r="L4" s="222" t="s">
        <v>158</v>
      </c>
      <c r="M4" s="223" t="s">
        <v>159</v>
      </c>
      <c r="N4" s="224"/>
      <c r="O4" s="225" t="s">
        <v>160</v>
      </c>
      <c r="P4" s="226"/>
      <c r="Q4" s="227" t="s">
        <v>161</v>
      </c>
      <c r="R4" s="228" t="s">
        <v>162</v>
      </c>
    </row>
    <row r="5" spans="1:18">
      <c r="A5" s="219"/>
      <c r="B5" s="219"/>
      <c r="C5" s="219" t="s">
        <v>122</v>
      </c>
      <c r="D5" s="219" t="s">
        <v>122</v>
      </c>
      <c r="E5" s="219" t="s">
        <v>163</v>
      </c>
      <c r="F5" s="219"/>
      <c r="G5" s="229" t="s">
        <v>163</v>
      </c>
      <c r="H5" s="229"/>
      <c r="I5" s="229"/>
      <c r="J5" s="229" t="s">
        <v>164</v>
      </c>
      <c r="K5" s="219" t="s">
        <v>165</v>
      </c>
      <c r="L5" s="222" t="s">
        <v>166</v>
      </c>
      <c r="M5" s="230" t="s">
        <v>167</v>
      </c>
      <c r="N5" s="229"/>
      <c r="O5" s="33" t="s">
        <v>168</v>
      </c>
      <c r="P5" s="228" t="s">
        <v>169</v>
      </c>
      <c r="Q5" s="231"/>
      <c r="R5" s="232"/>
    </row>
    <row r="6" spans="1:18" ht="15.75">
      <c r="A6" s="233">
        <v>1</v>
      </c>
      <c r="B6" s="181" t="s">
        <v>12</v>
      </c>
      <c r="C6" s="181">
        <f>2088+3708</f>
        <v>5796</v>
      </c>
      <c r="D6" s="181">
        <v>10</v>
      </c>
      <c r="E6" s="181">
        <v>0</v>
      </c>
      <c r="F6" s="181">
        <v>335</v>
      </c>
      <c r="G6" s="181">
        <v>0</v>
      </c>
      <c r="H6" s="181">
        <v>0</v>
      </c>
      <c r="I6" s="181">
        <v>15</v>
      </c>
      <c r="J6" s="181">
        <f>381+120</f>
        <v>501</v>
      </c>
      <c r="K6" s="181">
        <v>0</v>
      </c>
      <c r="L6" s="181">
        <f>30+131</f>
        <v>161</v>
      </c>
      <c r="M6" s="181">
        <v>0</v>
      </c>
      <c r="N6" s="181">
        <f t="shared" ref="N6:N16" si="0">C6+D6+E6+F6+G6+H6+I6+J6+K6+L6+M6+O6+P6</f>
        <v>6818</v>
      </c>
      <c r="O6" s="181">
        <v>0</v>
      </c>
      <c r="P6" s="181">
        <v>0</v>
      </c>
      <c r="Q6" s="181">
        <f>1289+2776</f>
        <v>4065</v>
      </c>
      <c r="R6" s="181">
        <f>1220+1533</f>
        <v>2753</v>
      </c>
    </row>
    <row r="7" spans="1:18" ht="15.75">
      <c r="A7" s="233">
        <v>2</v>
      </c>
      <c r="B7" s="181" t="s">
        <v>13</v>
      </c>
      <c r="C7" s="181">
        <f>2075+4668</f>
        <v>6743</v>
      </c>
      <c r="D7" s="181">
        <f>70+26</f>
        <v>96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f>437+213</f>
        <v>650</v>
      </c>
      <c r="K7" s="181">
        <v>0</v>
      </c>
      <c r="L7" s="181">
        <v>165</v>
      </c>
      <c r="M7" s="181">
        <v>68</v>
      </c>
      <c r="N7" s="181">
        <f t="shared" si="0"/>
        <v>7722</v>
      </c>
      <c r="O7" s="181">
        <v>0</v>
      </c>
      <c r="P7" s="181">
        <v>0</v>
      </c>
      <c r="Q7" s="181">
        <f>1565+3253</f>
        <v>4818</v>
      </c>
      <c r="R7" s="181">
        <f>1085+1819</f>
        <v>2904</v>
      </c>
    </row>
    <row r="8" spans="1:18" ht="15.75">
      <c r="A8" s="233">
        <v>3</v>
      </c>
      <c r="B8" s="181" t="s">
        <v>14</v>
      </c>
      <c r="C8" s="181">
        <f>2113+4804</f>
        <v>6917</v>
      </c>
      <c r="D8" s="181">
        <v>53</v>
      </c>
      <c r="E8" s="181">
        <v>36</v>
      </c>
      <c r="F8" s="181">
        <v>90</v>
      </c>
      <c r="G8" s="181">
        <v>218</v>
      </c>
      <c r="H8" s="181">
        <v>61</v>
      </c>
      <c r="I8" s="181">
        <v>6</v>
      </c>
      <c r="J8" s="181">
        <f>262+852</f>
        <v>1114</v>
      </c>
      <c r="K8" s="181">
        <v>0</v>
      </c>
      <c r="L8" s="181">
        <f>198+240</f>
        <v>438</v>
      </c>
      <c r="M8" s="181">
        <v>0</v>
      </c>
      <c r="N8" s="181">
        <f t="shared" si="0"/>
        <v>9033</v>
      </c>
      <c r="O8" s="181">
        <v>0</v>
      </c>
      <c r="P8" s="181">
        <v>100</v>
      </c>
      <c r="Q8" s="181">
        <f>1744+3501</f>
        <v>5245</v>
      </c>
      <c r="R8" s="181">
        <f>1053+2735</f>
        <v>3788</v>
      </c>
    </row>
    <row r="9" spans="1:18" ht="15.75">
      <c r="A9" s="233">
        <v>4</v>
      </c>
      <c r="B9" s="181" t="s">
        <v>15</v>
      </c>
      <c r="C9" s="181">
        <f>2033+3449</f>
        <v>5482</v>
      </c>
      <c r="D9" s="181">
        <v>25</v>
      </c>
      <c r="E9" s="181">
        <f>52+36</f>
        <v>88</v>
      </c>
      <c r="F9" s="181">
        <v>100</v>
      </c>
      <c r="G9" s="181">
        <v>0</v>
      </c>
      <c r="H9" s="181">
        <v>0</v>
      </c>
      <c r="I9" s="181">
        <v>32</v>
      </c>
      <c r="J9" s="181">
        <f>308+985</f>
        <v>1293</v>
      </c>
      <c r="K9" s="181">
        <v>165</v>
      </c>
      <c r="L9" s="181">
        <f>70+60</f>
        <v>130</v>
      </c>
      <c r="M9" s="181">
        <v>0</v>
      </c>
      <c r="N9" s="181">
        <f t="shared" si="0"/>
        <v>7315</v>
      </c>
      <c r="O9" s="181">
        <v>0</v>
      </c>
      <c r="P9" s="181">
        <v>0</v>
      </c>
      <c r="Q9" s="181">
        <f>1500+3046</f>
        <v>4546</v>
      </c>
      <c r="R9" s="181">
        <f>963+1806</f>
        <v>2769</v>
      </c>
    </row>
    <row r="10" spans="1:18" ht="15.75">
      <c r="A10" s="233">
        <v>5</v>
      </c>
      <c r="B10" s="181" t="s">
        <v>16</v>
      </c>
      <c r="C10" s="181">
        <f>2493+2280</f>
        <v>4773</v>
      </c>
      <c r="D10" s="181">
        <v>3542</v>
      </c>
      <c r="E10" s="181">
        <v>0</v>
      </c>
      <c r="F10" s="181">
        <v>0</v>
      </c>
      <c r="G10" s="181">
        <v>0</v>
      </c>
      <c r="H10" s="181">
        <v>0</v>
      </c>
      <c r="I10" s="181">
        <v>26</v>
      </c>
      <c r="J10" s="181">
        <f>184+1076</f>
        <v>1260</v>
      </c>
      <c r="K10" s="181">
        <v>103</v>
      </c>
      <c r="L10" s="181">
        <v>191</v>
      </c>
      <c r="M10" s="181">
        <v>0</v>
      </c>
      <c r="N10" s="181">
        <f t="shared" si="0"/>
        <v>9895</v>
      </c>
      <c r="O10" s="181">
        <v>0</v>
      </c>
      <c r="P10" s="181">
        <v>0</v>
      </c>
      <c r="Q10" s="181">
        <f>1501+4905</f>
        <v>6406</v>
      </c>
      <c r="R10" s="181">
        <f>1176+2313</f>
        <v>3489</v>
      </c>
    </row>
    <row r="11" spans="1:18" ht="15.75">
      <c r="A11" s="233">
        <v>6</v>
      </c>
      <c r="B11" s="181" t="s">
        <v>17</v>
      </c>
      <c r="C11" s="181">
        <f>2645+1547</f>
        <v>4192</v>
      </c>
      <c r="D11" s="181">
        <f>393</f>
        <v>393</v>
      </c>
      <c r="E11" s="181">
        <f>209+40</f>
        <v>249</v>
      </c>
      <c r="F11" s="181">
        <v>0</v>
      </c>
      <c r="G11" s="181">
        <v>715</v>
      </c>
      <c r="H11" s="181">
        <v>0</v>
      </c>
      <c r="I11" s="181">
        <f>9+52</f>
        <v>61</v>
      </c>
      <c r="J11" s="181">
        <f>163+316</f>
        <v>479</v>
      </c>
      <c r="K11" s="181">
        <v>0</v>
      </c>
      <c r="L11" s="181">
        <v>0</v>
      </c>
      <c r="M11" s="181">
        <v>0</v>
      </c>
      <c r="N11" s="181">
        <f t="shared" si="0"/>
        <v>6089</v>
      </c>
      <c r="O11" s="181">
        <v>0</v>
      </c>
      <c r="P11" s="181">
        <v>0</v>
      </c>
      <c r="Q11" s="181">
        <f>3008+1296</f>
        <v>4304</v>
      </c>
      <c r="R11" s="181">
        <f>1126+659</f>
        <v>1785</v>
      </c>
    </row>
    <row r="12" spans="1:18" ht="15.75">
      <c r="A12" s="233">
        <v>7</v>
      </c>
      <c r="B12" s="181" t="s">
        <v>18</v>
      </c>
      <c r="C12" s="181">
        <f>2029+3726</f>
        <v>5755</v>
      </c>
      <c r="D12" s="181">
        <f>393+126</f>
        <v>519</v>
      </c>
      <c r="E12" s="181">
        <v>0</v>
      </c>
      <c r="F12" s="181">
        <v>0</v>
      </c>
      <c r="G12" s="181">
        <v>0</v>
      </c>
      <c r="H12" s="181">
        <v>0</v>
      </c>
      <c r="I12" s="181">
        <v>7</v>
      </c>
      <c r="J12" s="181">
        <f>35+251</f>
        <v>286</v>
      </c>
      <c r="K12" s="181">
        <v>0</v>
      </c>
      <c r="L12" s="181">
        <v>15</v>
      </c>
      <c r="M12" s="181">
        <v>0</v>
      </c>
      <c r="N12" s="181">
        <f t="shared" si="0"/>
        <v>6582</v>
      </c>
      <c r="O12" s="181">
        <v>0</v>
      </c>
      <c r="P12" s="181">
        <v>0</v>
      </c>
      <c r="Q12" s="181">
        <f>1653+2874</f>
        <v>4527</v>
      </c>
      <c r="R12" s="181">
        <f>804+1251</f>
        <v>2055</v>
      </c>
    </row>
    <row r="13" spans="1:18" ht="15.75">
      <c r="A13" s="233">
        <v>8</v>
      </c>
      <c r="B13" s="181" t="s">
        <v>19</v>
      </c>
      <c r="C13" s="181">
        <f>2016+2064</f>
        <v>4080</v>
      </c>
      <c r="D13" s="181">
        <v>104</v>
      </c>
      <c r="E13" s="181">
        <v>0</v>
      </c>
      <c r="F13" s="181">
        <v>0</v>
      </c>
      <c r="G13" s="181">
        <v>0</v>
      </c>
      <c r="H13" s="181">
        <v>11</v>
      </c>
      <c r="I13" s="181">
        <f>11+12</f>
        <v>23</v>
      </c>
      <c r="J13" s="181">
        <f>262+512</f>
        <v>774</v>
      </c>
      <c r="K13" s="181">
        <v>0</v>
      </c>
      <c r="L13" s="181">
        <v>94</v>
      </c>
      <c r="M13" s="181">
        <v>0</v>
      </c>
      <c r="N13" s="181">
        <f t="shared" si="0"/>
        <v>5086</v>
      </c>
      <c r="O13" s="181">
        <v>0</v>
      </c>
      <c r="P13" s="181">
        <v>0</v>
      </c>
      <c r="Q13" s="181">
        <f>1304+1891</f>
        <v>3195</v>
      </c>
      <c r="R13" s="181">
        <f>985+906</f>
        <v>1891</v>
      </c>
    </row>
    <row r="14" spans="1:18" ht="15.75">
      <c r="A14" s="233">
        <v>9</v>
      </c>
      <c r="B14" s="181" t="s">
        <v>20</v>
      </c>
      <c r="C14" s="181">
        <f>3196+4491</f>
        <v>7687</v>
      </c>
      <c r="D14" s="181">
        <v>33</v>
      </c>
      <c r="E14" s="181">
        <v>12</v>
      </c>
      <c r="F14" s="181">
        <v>9</v>
      </c>
      <c r="G14" s="181">
        <v>0</v>
      </c>
      <c r="H14" s="181">
        <v>0</v>
      </c>
      <c r="I14" s="181">
        <v>12</v>
      </c>
      <c r="J14" s="181">
        <f>182+632</f>
        <v>814</v>
      </c>
      <c r="K14" s="181">
        <v>0</v>
      </c>
      <c r="L14" s="181">
        <v>88</v>
      </c>
      <c r="M14" s="181">
        <v>0</v>
      </c>
      <c r="N14" s="181">
        <f t="shared" si="0"/>
        <v>8655</v>
      </c>
      <c r="O14" s="181">
        <v>0</v>
      </c>
      <c r="P14" s="181">
        <v>0</v>
      </c>
      <c r="Q14" s="181">
        <f>2168+3455</f>
        <v>5623</v>
      </c>
      <c r="R14" s="181">
        <f>1210+1822</f>
        <v>3032</v>
      </c>
    </row>
    <row r="15" spans="1:18" ht="15.75">
      <c r="A15" s="233">
        <v>10</v>
      </c>
      <c r="B15" s="181" t="s">
        <v>21</v>
      </c>
      <c r="C15" s="181">
        <f>2350+1704</f>
        <v>4054</v>
      </c>
      <c r="D15" s="181">
        <v>0</v>
      </c>
      <c r="E15" s="181">
        <v>20</v>
      </c>
      <c r="F15" s="181">
        <v>0</v>
      </c>
      <c r="G15" s="181">
        <v>0</v>
      </c>
      <c r="H15" s="181">
        <v>25</v>
      </c>
      <c r="I15" s="181">
        <f>2+15</f>
        <v>17</v>
      </c>
      <c r="J15" s="181">
        <f>123+702</f>
        <v>825</v>
      </c>
      <c r="K15" s="181">
        <v>0</v>
      </c>
      <c r="L15" s="181">
        <v>45</v>
      </c>
      <c r="M15" s="181">
        <v>0</v>
      </c>
      <c r="N15" s="181">
        <f t="shared" si="0"/>
        <v>4986</v>
      </c>
      <c r="O15" s="181">
        <v>0</v>
      </c>
      <c r="P15" s="181">
        <v>0</v>
      </c>
      <c r="Q15" s="181">
        <f>2085+1412</f>
        <v>3497</v>
      </c>
      <c r="R15" s="181">
        <f>403+1086</f>
        <v>1489</v>
      </c>
    </row>
    <row r="16" spans="1:18" ht="15.75">
      <c r="A16" s="234">
        <v>11</v>
      </c>
      <c r="B16" s="175" t="s">
        <v>22</v>
      </c>
      <c r="C16" s="181">
        <v>2496</v>
      </c>
      <c r="D16" s="181">
        <v>115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568</v>
      </c>
      <c r="K16" s="181">
        <v>0</v>
      </c>
      <c r="L16" s="181">
        <v>0</v>
      </c>
      <c r="M16" s="181">
        <v>0</v>
      </c>
      <c r="N16" s="181">
        <f t="shared" si="0"/>
        <v>3179</v>
      </c>
      <c r="O16" s="181">
        <v>0</v>
      </c>
      <c r="P16" s="181">
        <v>0</v>
      </c>
      <c r="Q16" s="181">
        <v>1935</v>
      </c>
      <c r="R16" s="181">
        <v>1244</v>
      </c>
    </row>
  </sheetData>
  <mergeCells count="2">
    <mergeCell ref="A1:R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Area &amp; Production Group Wise</vt:lpstr>
      <vt:lpstr>Area &amp; Production Fruit Wise</vt:lpstr>
      <vt:lpstr>Plants Distribution</vt:lpstr>
      <vt:lpstr>Floriculture</vt:lpstr>
      <vt:lpstr>Bee-keeping</vt:lpstr>
      <vt:lpstr>Training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2022-08-25T10:59:53Z</dcterms:modified>
</cp:coreProperties>
</file>