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firstSheet="1" activeTab="3"/>
  </bookViews>
  <sheets>
    <sheet name="Area &amp; Production Group Wise" sheetId="1" r:id="rId1"/>
    <sheet name="Area &amp; Production Fruit Wise" sheetId="2" r:id="rId2"/>
    <sheet name="Plants Distribution" sheetId="3" r:id="rId3"/>
    <sheet name="Floriculture" sheetId="4" r:id="rId4"/>
    <sheet name="Bee-keeping" sheetId="5" r:id="rId5"/>
    <sheet name="Training" sheetId="6" r:id="rId6"/>
  </sheets>
  <calcPr calcId="124519"/>
</workbook>
</file>

<file path=xl/calcChain.xml><?xml version="1.0" encoding="utf-8"?>
<calcChain xmlns="http://schemas.openxmlformats.org/spreadsheetml/2006/main">
  <c r="H14" i="4"/>
  <c r="U14" s="1"/>
  <c r="R16" i="6"/>
  <c r="Q16"/>
  <c r="N16"/>
  <c r="C16"/>
  <c r="R15"/>
  <c r="Q15"/>
  <c r="N15"/>
  <c r="C15"/>
  <c r="R14"/>
  <c r="Q14"/>
  <c r="N14"/>
  <c r="C14"/>
  <c r="R13"/>
  <c r="Q13"/>
  <c r="L13"/>
  <c r="C13"/>
  <c r="N13" s="1"/>
  <c r="R12"/>
  <c r="Q12"/>
  <c r="E12"/>
  <c r="C12"/>
  <c r="N12" s="1"/>
  <c r="R11"/>
  <c r="Q11"/>
  <c r="L11"/>
  <c r="C11"/>
  <c r="N11" s="1"/>
  <c r="R10"/>
  <c r="Q10"/>
  <c r="L10"/>
  <c r="D10"/>
  <c r="C10"/>
  <c r="N10" s="1"/>
  <c r="R9"/>
  <c r="Q9"/>
  <c r="C9"/>
  <c r="N9" s="1"/>
  <c r="R8"/>
  <c r="Q8"/>
  <c r="L8"/>
  <c r="C8"/>
  <c r="N8" s="1"/>
  <c r="R7"/>
  <c r="Q7"/>
  <c r="L7"/>
  <c r="C7"/>
  <c r="N7" s="1"/>
  <c r="R6"/>
  <c r="Q6"/>
  <c r="M6"/>
  <c r="L6"/>
  <c r="C6"/>
  <c r="N6" s="1"/>
  <c r="G11" i="5"/>
  <c r="F11"/>
  <c r="E11"/>
  <c r="D11"/>
  <c r="C11"/>
  <c r="B11"/>
  <c r="J10"/>
  <c r="G10"/>
  <c r="F10"/>
  <c r="E10"/>
  <c r="D10"/>
  <c r="C10"/>
  <c r="B10"/>
  <c r="J9"/>
  <c r="G9"/>
  <c r="F9"/>
  <c r="E9"/>
  <c r="D9"/>
  <c r="C9"/>
  <c r="B9"/>
  <c r="U15" i="4"/>
  <c r="U13"/>
  <c r="U12"/>
  <c r="U11"/>
  <c r="U10"/>
  <c r="U9"/>
  <c r="U8"/>
  <c r="U7"/>
  <c r="U6"/>
  <c r="U5"/>
  <c r="AT54" i="3"/>
  <c r="AS54"/>
  <c r="AR54"/>
  <c r="AP54"/>
  <c r="AO54"/>
  <c r="AN54"/>
  <c r="AL54"/>
  <c r="AK54"/>
  <c r="AH54"/>
  <c r="AG54"/>
  <c r="AD54"/>
  <c r="AC54"/>
  <c r="AB54"/>
  <c r="Z54"/>
  <c r="Y54"/>
  <c r="X54"/>
  <c r="V54"/>
  <c r="T54"/>
  <c r="R54"/>
  <c r="P54"/>
  <c r="N54"/>
  <c r="M54"/>
  <c r="L54"/>
  <c r="J54"/>
  <c r="I54"/>
  <c r="H54"/>
  <c r="F54"/>
  <c r="D54"/>
  <c r="AU53"/>
  <c r="AQ53"/>
  <c r="AM53"/>
  <c r="AI53"/>
  <c r="AE53"/>
  <c r="AA53"/>
  <c r="W53"/>
  <c r="S53"/>
  <c r="O53"/>
  <c r="K53"/>
  <c r="G53"/>
  <c r="AU52"/>
  <c r="AQ52"/>
  <c r="AM52"/>
  <c r="AI52"/>
  <c r="AE52"/>
  <c r="AA52"/>
  <c r="W52"/>
  <c r="S52"/>
  <c r="O52"/>
  <c r="K52"/>
  <c r="G52"/>
  <c r="AU51"/>
  <c r="AQ51"/>
  <c r="AM51"/>
  <c r="AI51"/>
  <c r="AE51"/>
  <c r="AA51"/>
  <c r="W51"/>
  <c r="S51"/>
  <c r="O51"/>
  <c r="K51"/>
  <c r="G51"/>
  <c r="AU50"/>
  <c r="AQ50"/>
  <c r="AJ50"/>
  <c r="AJ54" s="1"/>
  <c r="AF50"/>
  <c r="AF54" s="1"/>
  <c r="AE50"/>
  <c r="AA50"/>
  <c r="U50"/>
  <c r="W50" s="1"/>
  <c r="Q50"/>
  <c r="S50" s="1"/>
  <c r="O50"/>
  <c r="K50"/>
  <c r="E50"/>
  <c r="G50" s="1"/>
  <c r="AU49"/>
  <c r="AQ49"/>
  <c r="AM49"/>
  <c r="AI49"/>
  <c r="AE49"/>
  <c r="AA49"/>
  <c r="W49"/>
  <c r="S49"/>
  <c r="O49"/>
  <c r="K49"/>
  <c r="E49"/>
  <c r="G49" s="1"/>
  <c r="AU48"/>
  <c r="AU54" s="1"/>
  <c r="AQ48"/>
  <c r="AQ54" s="1"/>
  <c r="AM48"/>
  <c r="AI48"/>
  <c r="AE48"/>
  <c r="AE54" s="1"/>
  <c r="AA48"/>
  <c r="AA54" s="1"/>
  <c r="W48"/>
  <c r="W54" s="1"/>
  <c r="S48"/>
  <c r="S54" s="1"/>
  <c r="O48"/>
  <c r="O54" s="1"/>
  <c r="K48"/>
  <c r="K54" s="1"/>
  <c r="G48"/>
  <c r="G54" s="1"/>
  <c r="AT47"/>
  <c r="AS47"/>
  <c r="AR47"/>
  <c r="AP47"/>
  <c r="AO47"/>
  <c r="AN47"/>
  <c r="AL47"/>
  <c r="AK47"/>
  <c r="AJ47"/>
  <c r="AH47"/>
  <c r="AG47"/>
  <c r="AF47"/>
  <c r="AD47"/>
  <c r="AC47"/>
  <c r="AB47"/>
  <c r="Z47"/>
  <c r="Y47"/>
  <c r="X47"/>
  <c r="V47"/>
  <c r="U47"/>
  <c r="T47"/>
  <c r="R47"/>
  <c r="Q47"/>
  <c r="P47"/>
  <c r="N47"/>
  <c r="M47"/>
  <c r="L47"/>
  <c r="J47"/>
  <c r="I47"/>
  <c r="H47"/>
  <c r="F47"/>
  <c r="E47"/>
  <c r="D47"/>
  <c r="AU46"/>
  <c r="AQ46"/>
  <c r="AM46"/>
  <c r="AI46"/>
  <c r="AE46"/>
  <c r="AA46"/>
  <c r="W46"/>
  <c r="S46"/>
  <c r="O46"/>
  <c r="K46"/>
  <c r="G46"/>
  <c r="AU45"/>
  <c r="AQ45"/>
  <c r="AM45"/>
  <c r="AI45"/>
  <c r="AE45"/>
  <c r="AA45"/>
  <c r="W45"/>
  <c r="S45"/>
  <c r="O45"/>
  <c r="K45"/>
  <c r="G45"/>
  <c r="AU44"/>
  <c r="AQ44"/>
  <c r="AM44"/>
  <c r="AI44"/>
  <c r="AE44"/>
  <c r="AA44"/>
  <c r="W44"/>
  <c r="S44"/>
  <c r="O44"/>
  <c r="K44"/>
  <c r="G44"/>
  <c r="AU43"/>
  <c r="AQ43"/>
  <c r="AM43"/>
  <c r="AI43"/>
  <c r="AE43"/>
  <c r="AA43"/>
  <c r="W43"/>
  <c r="S43"/>
  <c r="O43"/>
  <c r="K43"/>
  <c r="G43"/>
  <c r="AU42"/>
  <c r="AQ42"/>
  <c r="AM42"/>
  <c r="AI42"/>
  <c r="AE42"/>
  <c r="AA42"/>
  <c r="W42"/>
  <c r="S42"/>
  <c r="O42"/>
  <c r="K42"/>
  <c r="G42"/>
  <c r="AU41"/>
  <c r="AQ41"/>
  <c r="AM41"/>
  <c r="AI41"/>
  <c r="AE41"/>
  <c r="AA41"/>
  <c r="W41"/>
  <c r="S41"/>
  <c r="O41"/>
  <c r="K41"/>
  <c r="G41"/>
  <c r="AU40"/>
  <c r="AQ40"/>
  <c r="AM40"/>
  <c r="AI40"/>
  <c r="AE40"/>
  <c r="AA40"/>
  <c r="W40"/>
  <c r="S40"/>
  <c r="O40"/>
  <c r="K40"/>
  <c r="G40"/>
  <c r="AU39"/>
  <c r="AQ39"/>
  <c r="AM39"/>
  <c r="AI39"/>
  <c r="AE39"/>
  <c r="AA39"/>
  <c r="W39"/>
  <c r="S39"/>
  <c r="O39"/>
  <c r="K39"/>
  <c r="G39"/>
  <c r="AU38"/>
  <c r="AQ38"/>
  <c r="AM38"/>
  <c r="AI38"/>
  <c r="AE38"/>
  <c r="AA38"/>
  <c r="W38"/>
  <c r="S38"/>
  <c r="O38"/>
  <c r="K38"/>
  <c r="G38"/>
  <c r="AU37"/>
  <c r="AQ37"/>
  <c r="AM37"/>
  <c r="AI37"/>
  <c r="AE37"/>
  <c r="AA37"/>
  <c r="W37"/>
  <c r="S37"/>
  <c r="O37"/>
  <c r="K37"/>
  <c r="G37"/>
  <c r="AU36"/>
  <c r="AQ36"/>
  <c r="AM36"/>
  <c r="AI36"/>
  <c r="AE36"/>
  <c r="AA36"/>
  <c r="W36"/>
  <c r="S36"/>
  <c r="O36"/>
  <c r="K36"/>
  <c r="G36"/>
  <c r="AU35"/>
  <c r="AQ35"/>
  <c r="AM35"/>
  <c r="AI35"/>
  <c r="AE35"/>
  <c r="AA35"/>
  <c r="W35"/>
  <c r="S35"/>
  <c r="O35"/>
  <c r="K35"/>
  <c r="G35"/>
  <c r="AU34"/>
  <c r="AQ34"/>
  <c r="AM34"/>
  <c r="AI34"/>
  <c r="AE34"/>
  <c r="AA34"/>
  <c r="W34"/>
  <c r="S34"/>
  <c r="O34"/>
  <c r="K34"/>
  <c r="G34"/>
  <c r="AU33"/>
  <c r="AQ33"/>
  <c r="AM33"/>
  <c r="AI33"/>
  <c r="AE33"/>
  <c r="AA33"/>
  <c r="W33"/>
  <c r="S33"/>
  <c r="O33"/>
  <c r="K33"/>
  <c r="G33"/>
  <c r="AU32"/>
  <c r="AQ32"/>
  <c r="AM32"/>
  <c r="AI32"/>
  <c r="AE32"/>
  <c r="AA32"/>
  <c r="W32"/>
  <c r="S32"/>
  <c r="O32"/>
  <c r="K32"/>
  <c r="G32"/>
  <c r="AU31"/>
  <c r="AQ31"/>
  <c r="AM31"/>
  <c r="AI31"/>
  <c r="AE31"/>
  <c r="AA31"/>
  <c r="W31"/>
  <c r="S31"/>
  <c r="O31"/>
  <c r="K31"/>
  <c r="G31"/>
  <c r="AU30"/>
  <c r="AQ30"/>
  <c r="AM30"/>
  <c r="AI30"/>
  <c r="AE30"/>
  <c r="AA30"/>
  <c r="W30"/>
  <c r="S30"/>
  <c r="O30"/>
  <c r="K30"/>
  <c r="G30"/>
  <c r="AU29"/>
  <c r="AQ29"/>
  <c r="AM29"/>
  <c r="AI29"/>
  <c r="AE29"/>
  <c r="AA29"/>
  <c r="W29"/>
  <c r="S29"/>
  <c r="O29"/>
  <c r="K29"/>
  <c r="G29"/>
  <c r="AU28"/>
  <c r="AU47" s="1"/>
  <c r="AQ28"/>
  <c r="AQ47" s="1"/>
  <c r="AM28"/>
  <c r="AM47" s="1"/>
  <c r="AI28"/>
  <c r="AI47" s="1"/>
  <c r="AE28"/>
  <c r="AE47" s="1"/>
  <c r="AA28"/>
  <c r="AA47" s="1"/>
  <c r="W28"/>
  <c r="W47" s="1"/>
  <c r="S28"/>
  <c r="S47" s="1"/>
  <c r="O28"/>
  <c r="O47" s="1"/>
  <c r="K28"/>
  <c r="K47" s="1"/>
  <c r="G28"/>
  <c r="G47" s="1"/>
  <c r="AT27"/>
  <c r="AS27"/>
  <c r="AP27"/>
  <c r="AO27"/>
  <c r="AL27"/>
  <c r="AK27"/>
  <c r="AJ27"/>
  <c r="AH27"/>
  <c r="AG27"/>
  <c r="AF27"/>
  <c r="AD27"/>
  <c r="AC27"/>
  <c r="AB27"/>
  <c r="Z27"/>
  <c r="Y27"/>
  <c r="X27"/>
  <c r="V27"/>
  <c r="U27"/>
  <c r="T27"/>
  <c r="R27"/>
  <c r="Q27"/>
  <c r="P27"/>
  <c r="N27"/>
  <c r="M27"/>
  <c r="L27"/>
  <c r="J27"/>
  <c r="I27"/>
  <c r="H27"/>
  <c r="F27"/>
  <c r="E27"/>
  <c r="D27"/>
  <c r="AU26"/>
  <c r="AQ26"/>
  <c r="AM26"/>
  <c r="AI26"/>
  <c r="AE26"/>
  <c r="AA26"/>
  <c r="W26"/>
  <c r="S26"/>
  <c r="O26"/>
  <c r="K26"/>
  <c r="G26"/>
  <c r="AU25"/>
  <c r="AQ25"/>
  <c r="AM25"/>
  <c r="AI25"/>
  <c r="AE25"/>
  <c r="AA25"/>
  <c r="W25"/>
  <c r="S25"/>
  <c r="O25"/>
  <c r="K25"/>
  <c r="G25"/>
  <c r="AU24"/>
  <c r="AQ24"/>
  <c r="AM24"/>
  <c r="AI24"/>
  <c r="AE24"/>
  <c r="AA24"/>
  <c r="W24"/>
  <c r="S24"/>
  <c r="O24"/>
  <c r="K24"/>
  <c r="G24"/>
  <c r="AU23"/>
  <c r="AQ23"/>
  <c r="AM23"/>
  <c r="AI23"/>
  <c r="AE23"/>
  <c r="AA23"/>
  <c r="W23"/>
  <c r="S23"/>
  <c r="O23"/>
  <c r="K23"/>
  <c r="G23"/>
  <c r="AU22"/>
  <c r="AR22"/>
  <c r="AR27" s="1"/>
  <c r="AQ22"/>
  <c r="AN22"/>
  <c r="AN27" s="1"/>
  <c r="AM22"/>
  <c r="AI22"/>
  <c r="AE22"/>
  <c r="AA22"/>
  <c r="W22"/>
  <c r="S22"/>
  <c r="O22"/>
  <c r="K22"/>
  <c r="G22"/>
  <c r="AU21"/>
  <c r="AU27" s="1"/>
  <c r="AQ21"/>
  <c r="AQ27" s="1"/>
  <c r="AM21"/>
  <c r="AM27" s="1"/>
  <c r="AI21"/>
  <c r="AI27" s="1"/>
  <c r="AE21"/>
  <c r="AE27" s="1"/>
  <c r="AA21"/>
  <c r="AA27" s="1"/>
  <c r="W21"/>
  <c r="W27" s="1"/>
  <c r="S21"/>
  <c r="S27" s="1"/>
  <c r="O21"/>
  <c r="O27" s="1"/>
  <c r="K21"/>
  <c r="K27" s="1"/>
  <c r="G21"/>
  <c r="G27" s="1"/>
  <c r="AT20"/>
  <c r="AT55" s="1"/>
  <c r="AP20"/>
  <c r="AP55" s="1"/>
  <c r="AO20"/>
  <c r="AL20"/>
  <c r="AL55" s="1"/>
  <c r="AK20"/>
  <c r="AJ20"/>
  <c r="AH20"/>
  <c r="AH55" s="1"/>
  <c r="AG20"/>
  <c r="AF20"/>
  <c r="AD20"/>
  <c r="AD55" s="1"/>
  <c r="AB20"/>
  <c r="AB55" s="1"/>
  <c r="Z20"/>
  <c r="Z55" s="1"/>
  <c r="Y20"/>
  <c r="X20"/>
  <c r="V20"/>
  <c r="V55" s="1"/>
  <c r="U20"/>
  <c r="R20"/>
  <c r="R55" s="1"/>
  <c r="N20"/>
  <c r="N55" s="1"/>
  <c r="M20"/>
  <c r="J20"/>
  <c r="J55" s="1"/>
  <c r="I20"/>
  <c r="H20"/>
  <c r="F20"/>
  <c r="F55" s="1"/>
  <c r="AU19"/>
  <c r="AQ19"/>
  <c r="AM19"/>
  <c r="AI19"/>
  <c r="AE19"/>
  <c r="AA19"/>
  <c r="W19"/>
  <c r="S19"/>
  <c r="O19"/>
  <c r="K19"/>
  <c r="G19"/>
  <c r="AU18"/>
  <c r="AQ18"/>
  <c r="AM18"/>
  <c r="AI18"/>
  <c r="AE18"/>
  <c r="AA18"/>
  <c r="W18"/>
  <c r="S18"/>
  <c r="O18"/>
  <c r="K18"/>
  <c r="G18"/>
  <c r="AU17"/>
  <c r="AQ17"/>
  <c r="AM17"/>
  <c r="AI17"/>
  <c r="AE17"/>
  <c r="AA17"/>
  <c r="W17"/>
  <c r="S17"/>
  <c r="O17"/>
  <c r="K17"/>
  <c r="G17"/>
  <c r="AU16"/>
  <c r="AQ16"/>
  <c r="AM16"/>
  <c r="AI16"/>
  <c r="AE16"/>
  <c r="AA16"/>
  <c r="W16"/>
  <c r="S16"/>
  <c r="O16"/>
  <c r="K16"/>
  <c r="G16"/>
  <c r="AS15"/>
  <c r="AU15" s="1"/>
  <c r="AQ15"/>
  <c r="AM15"/>
  <c r="AI15"/>
  <c r="AE15"/>
  <c r="AA15"/>
  <c r="W15"/>
  <c r="S15"/>
  <c r="O15"/>
  <c r="K15"/>
  <c r="G15"/>
  <c r="AU14"/>
  <c r="AQ14"/>
  <c r="AM14"/>
  <c r="AI14"/>
  <c r="AE14"/>
  <c r="AA14"/>
  <c r="W14"/>
  <c r="S14"/>
  <c r="O14"/>
  <c r="K14"/>
  <c r="G14"/>
  <c r="AU13"/>
  <c r="AQ13"/>
  <c r="AM13"/>
  <c r="AI13"/>
  <c r="AE13"/>
  <c r="AC13"/>
  <c r="AC20" s="1"/>
  <c r="AA13"/>
  <c r="T13"/>
  <c r="W13" s="1"/>
  <c r="Q13"/>
  <c r="Q20" s="1"/>
  <c r="P13"/>
  <c r="S13" s="1"/>
  <c r="L13"/>
  <c r="O13" s="1"/>
  <c r="K13"/>
  <c r="E13"/>
  <c r="E20" s="1"/>
  <c r="D13"/>
  <c r="G13" s="1"/>
  <c r="AU12"/>
  <c r="AQ12"/>
  <c r="AM12"/>
  <c r="AI12"/>
  <c r="AE12"/>
  <c r="AA12"/>
  <c r="W12"/>
  <c r="S12"/>
  <c r="O12"/>
  <c r="K12"/>
  <c r="G12"/>
  <c r="AU11"/>
  <c r="AQ11"/>
  <c r="AM11"/>
  <c r="AI11"/>
  <c r="AE11"/>
  <c r="AA11"/>
  <c r="W11"/>
  <c r="S11"/>
  <c r="O11"/>
  <c r="K11"/>
  <c r="G11"/>
  <c r="AS10"/>
  <c r="AR10"/>
  <c r="AR20" s="1"/>
  <c r="AN10"/>
  <c r="AQ10" s="1"/>
  <c r="AM10"/>
  <c r="AI10"/>
  <c r="AE10"/>
  <c r="AA10"/>
  <c r="T10"/>
  <c r="W10" s="1"/>
  <c r="S10"/>
  <c r="O10"/>
  <c r="L10"/>
  <c r="K10"/>
  <c r="G10"/>
  <c r="AU9"/>
  <c r="AQ9"/>
  <c r="AM9"/>
  <c r="AI9"/>
  <c r="AE9"/>
  <c r="AA9"/>
  <c r="W9"/>
  <c r="S9"/>
  <c r="O9"/>
  <c r="K9"/>
  <c r="G9"/>
  <c r="AU8"/>
  <c r="AQ8"/>
  <c r="AM8"/>
  <c r="AI8"/>
  <c r="AE8"/>
  <c r="AA8"/>
  <c r="W8"/>
  <c r="S8"/>
  <c r="O8"/>
  <c r="K8"/>
  <c r="G8"/>
  <c r="AU7"/>
  <c r="AS7"/>
  <c r="AS20" s="1"/>
  <c r="AQ7"/>
  <c r="AQ20" s="1"/>
  <c r="AM7"/>
  <c r="AM20" s="1"/>
  <c r="AI7"/>
  <c r="AI20" s="1"/>
  <c r="AE7"/>
  <c r="AE20" s="1"/>
  <c r="AA7"/>
  <c r="AA20" s="1"/>
  <c r="W7"/>
  <c r="W20" s="1"/>
  <c r="S7"/>
  <c r="S20" s="1"/>
  <c r="L7"/>
  <c r="O7" s="1"/>
  <c r="O20" s="1"/>
  <c r="K7"/>
  <c r="K20" s="1"/>
  <c r="G7"/>
  <c r="G20" s="1"/>
  <c r="AS6"/>
  <c r="AS55" s="1"/>
  <c r="AR6"/>
  <c r="AR55" s="1"/>
  <c r="AO6"/>
  <c r="AO55" s="1"/>
  <c r="AN6"/>
  <c r="AK6"/>
  <c r="AK55" s="1"/>
  <c r="AJ6"/>
  <c r="AJ55" s="1"/>
  <c r="AG6"/>
  <c r="AG55" s="1"/>
  <c r="AF6"/>
  <c r="AF55" s="1"/>
  <c r="AC6"/>
  <c r="AE6" s="1"/>
  <c r="AE55" s="1"/>
  <c r="Y6"/>
  <c r="Y55" s="1"/>
  <c r="X6"/>
  <c r="X55" s="1"/>
  <c r="U6"/>
  <c r="T6"/>
  <c r="Q6"/>
  <c r="S6" s="1"/>
  <c r="S55" s="1"/>
  <c r="M6"/>
  <c r="M55" s="1"/>
  <c r="L6"/>
  <c r="I6"/>
  <c r="I55" s="1"/>
  <c r="H6"/>
  <c r="H55" s="1"/>
  <c r="E6"/>
  <c r="D6"/>
  <c r="X54" i="2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X20"/>
  <c r="X55" s="1"/>
  <c r="W20"/>
  <c r="W55" s="1"/>
  <c r="V20"/>
  <c r="V55" s="1"/>
  <c r="U20"/>
  <c r="U55" s="1"/>
  <c r="T20"/>
  <c r="T55" s="1"/>
  <c r="S20"/>
  <c r="S55" s="1"/>
  <c r="R20"/>
  <c r="R55" s="1"/>
  <c r="Q20"/>
  <c r="Q55" s="1"/>
  <c r="P20"/>
  <c r="P55" s="1"/>
  <c r="O20"/>
  <c r="O55" s="1"/>
  <c r="N20"/>
  <c r="N55" s="1"/>
  <c r="M20"/>
  <c r="M55" s="1"/>
  <c r="L20"/>
  <c r="L55" s="1"/>
  <c r="K20"/>
  <c r="K55" s="1"/>
  <c r="J20"/>
  <c r="J55" s="1"/>
  <c r="I20"/>
  <c r="I55" s="1"/>
  <c r="H20"/>
  <c r="H55" s="1"/>
  <c r="G20"/>
  <c r="G55" s="1"/>
  <c r="F20"/>
  <c r="F55" s="1"/>
  <c r="E20"/>
  <c r="E55" s="1"/>
  <c r="D20"/>
  <c r="D55" s="1"/>
  <c r="C20"/>
  <c r="C55" s="1"/>
  <c r="N16" i="1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K6" i="3" l="1"/>
  <c r="K55" s="1"/>
  <c r="W6"/>
  <c r="W55" s="1"/>
  <c r="AI6"/>
  <c r="AQ6"/>
  <c r="AQ55" s="1"/>
  <c r="AU10"/>
  <c r="AU20" s="1"/>
  <c r="D20"/>
  <c r="D55" s="1"/>
  <c r="L20"/>
  <c r="L55" s="1"/>
  <c r="P20"/>
  <c r="P55" s="1"/>
  <c r="T20"/>
  <c r="T55" s="1"/>
  <c r="AN20"/>
  <c r="AN55" s="1"/>
  <c r="E54"/>
  <c r="E55" s="1"/>
  <c r="Q54"/>
  <c r="U54"/>
  <c r="U55" s="1"/>
  <c r="Q55"/>
  <c r="AC55"/>
  <c r="G6"/>
  <c r="G55" s="1"/>
  <c r="O6"/>
  <c r="O55" s="1"/>
  <c r="AA6"/>
  <c r="AA55" s="1"/>
  <c r="AM6"/>
  <c r="AU6"/>
  <c r="AI50"/>
  <c r="AI54" s="1"/>
  <c r="AM50"/>
  <c r="AM54" s="1"/>
  <c r="AU55" l="1"/>
  <c r="AM55"/>
  <c r="AI55"/>
</calcChain>
</file>

<file path=xl/sharedStrings.xml><?xml version="1.0" encoding="utf-8"?>
<sst xmlns="http://schemas.openxmlformats.org/spreadsheetml/2006/main" count="400" uniqueCount="174">
  <si>
    <t>Area</t>
  </si>
  <si>
    <t>Area in Hect.</t>
  </si>
  <si>
    <t>Production in MT</t>
  </si>
  <si>
    <t>Sr No.</t>
  </si>
  <si>
    <t>Year</t>
  </si>
  <si>
    <t>Apple</t>
  </si>
  <si>
    <t>OTF</t>
  </si>
  <si>
    <t>Nuts &amp; Dry</t>
  </si>
  <si>
    <t>Citrus</t>
  </si>
  <si>
    <t>OSTF</t>
  </si>
  <si>
    <t>Total</t>
  </si>
  <si>
    <t>Production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</si>
  <si>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</si>
  <si>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</si>
  <si>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</si>
  <si>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</si>
  <si>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</si>
  <si>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</si>
  <si>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</si>
  <si>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</si>
  <si>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</si>
  <si>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</si>
  <si>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</si>
  <si>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Sr.No.</t>
  </si>
  <si>
    <t xml:space="preserve">Name of 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</si>
  <si>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</si>
  <si>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</si>
  <si>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</si>
  <si>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</si>
  <si>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</si>
  <si>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</si>
  <si>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</si>
  <si>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</si>
  <si>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</si>
  <si>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</si>
  <si>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</si>
  <si>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fruit</t>
  </si>
  <si>
    <t>Plum</t>
  </si>
  <si>
    <t>Peach</t>
  </si>
  <si>
    <t>Apricot</t>
  </si>
  <si>
    <t>Pear</t>
  </si>
  <si>
    <t>Cherry</t>
  </si>
  <si>
    <t>Kiwi</t>
  </si>
  <si>
    <t>Pomegranate</t>
  </si>
  <si>
    <t>Olive</t>
  </si>
  <si>
    <t>Persimmon</t>
  </si>
  <si>
    <t>Strawberry</t>
  </si>
  <si>
    <t>G. Almond</t>
  </si>
  <si>
    <t>Grapes</t>
  </si>
  <si>
    <t>Almond</t>
  </si>
  <si>
    <t>Walnut</t>
  </si>
  <si>
    <t>Pecannut</t>
  </si>
  <si>
    <t>Hazulnut</t>
  </si>
  <si>
    <t>Chest nut</t>
  </si>
  <si>
    <t>N&amp;D</t>
  </si>
  <si>
    <t>Mango</t>
  </si>
  <si>
    <t>Litchi</t>
  </si>
  <si>
    <t>Guava</t>
  </si>
  <si>
    <t>Papaya</t>
  </si>
  <si>
    <t>Jackfruit</t>
  </si>
  <si>
    <t>Aonla</t>
  </si>
  <si>
    <t>Loquat</t>
  </si>
  <si>
    <t>Ber</t>
  </si>
  <si>
    <t>Banana</t>
  </si>
  <si>
    <t>Karonda</t>
  </si>
  <si>
    <t>Fig</t>
  </si>
  <si>
    <t>Spota</t>
  </si>
  <si>
    <t>Deon</t>
  </si>
  <si>
    <t>Bael</t>
  </si>
  <si>
    <t>Harad</t>
  </si>
  <si>
    <t>Jamun</t>
  </si>
  <si>
    <t>Baherha</t>
  </si>
  <si>
    <t>Orange/Kinnow</t>
  </si>
  <si>
    <t>Malta/Musambi</t>
  </si>
  <si>
    <t>Kagzi Lime</t>
  </si>
  <si>
    <t>Galgal</t>
  </si>
  <si>
    <t>Grape fruit</t>
  </si>
  <si>
    <t>CITRUS</t>
  </si>
  <si>
    <t>PLANT DISTRIBUTION</t>
  </si>
  <si>
    <t>(In Nos.)</t>
  </si>
  <si>
    <t>Sr. No.</t>
  </si>
  <si>
    <t xml:space="preserve">From </t>
  </si>
  <si>
    <t>Outside</t>
  </si>
  <si>
    <t>Govt Nurs.</t>
  </si>
  <si>
    <t>Pvt Nurs.</t>
  </si>
  <si>
    <t>the state</t>
  </si>
  <si>
    <t>TOTAL</t>
  </si>
  <si>
    <t>(In Hect.)</t>
  </si>
  <si>
    <t>Gladiolus</t>
  </si>
  <si>
    <t>Carnation</t>
  </si>
  <si>
    <t>Marigold</t>
  </si>
  <si>
    <t>Lilies</t>
  </si>
  <si>
    <t>Dafodil</t>
  </si>
  <si>
    <t>Rose</t>
  </si>
  <si>
    <t>Alstroemeria</t>
  </si>
  <si>
    <t>Gerbera</t>
  </si>
  <si>
    <t>Tulip</t>
  </si>
  <si>
    <t>Chrysan-</t>
  </si>
  <si>
    <t xml:space="preserve">Bird of </t>
  </si>
  <si>
    <t>Cala Lily</t>
  </si>
  <si>
    <t>Aster</t>
  </si>
  <si>
    <t>Godetia</t>
  </si>
  <si>
    <t>Seasonal</t>
  </si>
  <si>
    <t>Other</t>
  </si>
  <si>
    <t>Flower</t>
  </si>
  <si>
    <t>Potted</t>
  </si>
  <si>
    <t>themum</t>
  </si>
  <si>
    <t>Paradise</t>
  </si>
  <si>
    <t>seeds.</t>
  </si>
  <si>
    <t>plants</t>
  </si>
  <si>
    <t>DEVELOPMENT OF BEE-KEEPING</t>
  </si>
  <si>
    <t>Production of Honey (In Kgs.)</t>
  </si>
  <si>
    <t>Maintenance of Bee- Colonies</t>
  </si>
  <si>
    <t xml:space="preserve">Farmers Trained </t>
  </si>
  <si>
    <t>Colonies</t>
  </si>
  <si>
    <t xml:space="preserve">Distribution of </t>
  </si>
  <si>
    <t xml:space="preserve">Bee Colonies </t>
  </si>
  <si>
    <t>Supplied</t>
  </si>
  <si>
    <t xml:space="preserve">bee-hives to pvt. </t>
  </si>
  <si>
    <t>supplied to private</t>
  </si>
  <si>
    <t xml:space="preserve">In Govt. </t>
  </si>
  <si>
    <t>In Private</t>
  </si>
  <si>
    <t>Camps</t>
  </si>
  <si>
    <t>Farmers</t>
  </si>
  <si>
    <t>for polli-</t>
  </si>
  <si>
    <t>Bee keepers</t>
  </si>
  <si>
    <t xml:space="preserve"> Bee Keepers</t>
  </si>
  <si>
    <t>Units</t>
  </si>
  <si>
    <t xml:space="preserve"> </t>
  </si>
  <si>
    <t>nation.</t>
  </si>
  <si>
    <t>Numbers of</t>
  </si>
  <si>
    <t>Bee-hives</t>
  </si>
  <si>
    <t>Benefitted</t>
  </si>
  <si>
    <t>Bee-colonies</t>
  </si>
  <si>
    <t>Sr.</t>
  </si>
  <si>
    <t>YEAR</t>
  </si>
  <si>
    <t xml:space="preserve">In One </t>
  </si>
  <si>
    <t xml:space="preserve">In Two </t>
  </si>
  <si>
    <t>IN General</t>
  </si>
  <si>
    <t>Post</t>
  </si>
  <si>
    <t>In</t>
  </si>
  <si>
    <t>In Bee-</t>
  </si>
  <si>
    <t xml:space="preserve">In </t>
  </si>
  <si>
    <t>In Fruit</t>
  </si>
  <si>
    <t>By</t>
  </si>
  <si>
    <t xml:space="preserve">By </t>
  </si>
  <si>
    <t xml:space="preserve">WOMEN </t>
  </si>
  <si>
    <t xml:space="preserve">Skill Develop.under </t>
  </si>
  <si>
    <t>No.</t>
  </si>
  <si>
    <t>Day</t>
  </si>
  <si>
    <t>Days</t>
  </si>
  <si>
    <t>Horticu-</t>
  </si>
  <si>
    <t>Harvest</t>
  </si>
  <si>
    <t>Floricu-</t>
  </si>
  <si>
    <t>Keeping</t>
  </si>
  <si>
    <t>Mushroom</t>
  </si>
  <si>
    <t>Preserv-</t>
  </si>
  <si>
    <t>Semi-</t>
  </si>
  <si>
    <t>Study</t>
  </si>
  <si>
    <t xml:space="preserve">Trainees </t>
  </si>
  <si>
    <t>HP Forest Sector</t>
  </si>
  <si>
    <t>Male</t>
  </si>
  <si>
    <t>Female</t>
  </si>
  <si>
    <t>lture</t>
  </si>
  <si>
    <t>ation</t>
  </si>
  <si>
    <t>nars</t>
  </si>
  <si>
    <t>Tour</t>
  </si>
  <si>
    <t>in HTM</t>
  </si>
  <si>
    <t>One Day</t>
  </si>
  <si>
    <t>Two Days</t>
  </si>
  <si>
    <t>Area &amp; Production of different fruits.</t>
  </si>
  <si>
    <t xml:space="preserve">Area &amp; Production of different fruits </t>
  </si>
  <si>
    <t>AREA UNDER FLORICULTURE</t>
  </si>
  <si>
    <t xml:space="preserve"> FARMERS TRAINED IN VARIOUS   TRAINING CAMPS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</si>
</sst>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.75"/>
      <color theme="1"/>
      <name val="Times New Roman"/>
      <family val="1"/>
    </font>
    <font>
      <sz val="11.75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0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2" xfId="0" applyFont="1" applyBorder="1"/>
    <xf numFmtId="0" fontId="1" fillId="0" borderId="6" xfId="0" applyFont="1" applyBorder="1"/>
    <xf numFmtId="0" fontId="3" fillId="0" borderId="8" xfId="0" applyFont="1" applyBorder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1" fillId="0" borderId="9" xfId="0" applyFont="1" applyBorder="1" applyAlignment="1"/>
    <xf numFmtId="0" fontId="1" fillId="0" borderId="11" xfId="0" applyFont="1" applyFill="1" applyBorder="1" applyAlignment="1"/>
    <xf numFmtId="0" fontId="2" fillId="0" borderId="12" xfId="0" applyFont="1" applyBorder="1" applyAlignment="1"/>
    <xf numFmtId="0" fontId="2" fillId="0" borderId="13" xfId="0" applyFont="1" applyBorder="1"/>
    <xf numFmtId="0" fontId="2" fillId="0" borderId="14" xfId="0" applyFont="1" applyBorder="1" applyAlignment="1"/>
    <xf numFmtId="0" fontId="2" fillId="0" borderId="15" xfId="0" applyFont="1" applyBorder="1" applyAlignment="1"/>
    <xf numFmtId="0" fontId="3" fillId="0" borderId="16" xfId="0" applyFont="1" applyBorder="1"/>
    <xf numFmtId="0" fontId="2" fillId="0" borderId="17" xfId="0" applyFont="1" applyBorder="1" applyAlignment="1"/>
    <xf numFmtId="0" fontId="2" fillId="0" borderId="13" xfId="0" applyFont="1" applyBorder="1" applyAlignment="1"/>
    <xf numFmtId="0" fontId="1" fillId="0" borderId="14" xfId="0" applyFont="1" applyBorder="1" applyAlignment="1"/>
    <xf numFmtId="0" fontId="1" fillId="0" borderId="13" xfId="0" applyFont="1" applyFill="1" applyBorder="1" applyAlignment="1"/>
    <xf numFmtId="0" fontId="2" fillId="0" borderId="5" xfId="0" applyFont="1" applyBorder="1" applyAlignment="1"/>
    <xf numFmtId="0" fontId="2" fillId="0" borderId="0" xfId="0" applyFont="1" applyBorder="1" applyAlignment="1"/>
    <xf numFmtId="0" fontId="1" fillId="0" borderId="5" xfId="0" applyFont="1" applyBorder="1" applyAlignment="1"/>
    <xf numFmtId="0" fontId="1" fillId="0" borderId="12" xfId="0" applyFont="1" applyFill="1" applyBorder="1" applyAlignment="1"/>
    <xf numFmtId="0" fontId="2" fillId="0" borderId="14" xfId="0" applyFont="1" applyBorder="1"/>
    <xf numFmtId="0" fontId="2" fillId="0" borderId="17" xfId="0" applyFont="1" applyBorder="1"/>
    <xf numFmtId="0" fontId="1" fillId="0" borderId="14" xfId="0" applyFont="1" applyBorder="1"/>
    <xf numFmtId="0" fontId="1" fillId="0" borderId="13" xfId="0" applyFont="1" applyFill="1" applyBorder="1"/>
    <xf numFmtId="0" fontId="3" fillId="0" borderId="0" xfId="0" applyFont="1"/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5" fillId="0" borderId="14" xfId="0" applyFont="1" applyBorder="1"/>
    <xf numFmtId="0" fontId="5" fillId="0" borderId="13" xfId="0" applyFont="1" applyBorder="1"/>
    <xf numFmtId="0" fontId="5" fillId="0" borderId="17" xfId="0" applyFont="1" applyBorder="1"/>
    <xf numFmtId="0" fontId="5" fillId="0" borderId="20" xfId="0" applyFont="1" applyBorder="1"/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1" fillId="0" borderId="23" xfId="0" applyFont="1" applyBorder="1"/>
    <xf numFmtId="0" fontId="6" fillId="0" borderId="24" xfId="0" applyFont="1" applyBorder="1" applyAlignment="1">
      <alignment horizontal="right"/>
    </xf>
    <xf numFmtId="1" fontId="6" fillId="0" borderId="25" xfId="0" applyNumberFormat="1" applyFont="1" applyBorder="1"/>
    <xf numFmtId="0" fontId="6" fillId="0" borderId="26" xfId="0" applyFont="1" applyBorder="1" applyAlignment="1">
      <alignment horizontal="right"/>
    </xf>
    <xf numFmtId="0" fontId="1" fillId="0" borderId="24" xfId="0" applyFont="1" applyBorder="1"/>
    <xf numFmtId="0" fontId="1" fillId="0" borderId="27" xfId="0" applyFont="1" applyBorder="1"/>
    <xf numFmtId="0" fontId="1" fillId="0" borderId="26" xfId="0" applyFont="1" applyBorder="1"/>
    <xf numFmtId="0" fontId="4" fillId="0" borderId="28" xfId="0" applyFont="1" applyBorder="1"/>
    <xf numFmtId="0" fontId="4" fillId="0" borderId="22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2" fillId="0" borderId="23" xfId="0" applyFont="1" applyBorder="1"/>
    <xf numFmtId="0" fontId="7" fillId="0" borderId="24" xfId="0" applyFont="1" applyBorder="1" applyAlignment="1">
      <alignment horizontal="right"/>
    </xf>
    <xf numFmtId="1" fontId="7" fillId="0" borderId="25" xfId="0" applyNumberFormat="1" applyFont="1" applyBorder="1"/>
    <xf numFmtId="0" fontId="7" fillId="0" borderId="26" xfId="0" applyFont="1" applyBorder="1" applyAlignment="1">
      <alignment horizontal="right"/>
    </xf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5" fillId="0" borderId="28" xfId="0" applyFont="1" applyBorder="1"/>
    <xf numFmtId="0" fontId="5" fillId="0" borderId="33" xfId="0" applyFont="1" applyFill="1" applyBorder="1"/>
    <xf numFmtId="0" fontId="5" fillId="0" borderId="27" xfId="0" applyFont="1" applyBorder="1"/>
    <xf numFmtId="0" fontId="5" fillId="0" borderId="33" xfId="0" applyFont="1" applyBorder="1"/>
    <xf numFmtId="0" fontId="5" fillId="0" borderId="28" xfId="0" applyFont="1" applyFill="1" applyBorder="1"/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5" fillId="0" borderId="23" xfId="0" applyFont="1" applyBorder="1"/>
    <xf numFmtId="0" fontId="5" fillId="0" borderId="32" xfId="0" applyFont="1" applyBorder="1"/>
    <xf numFmtId="0" fontId="5" fillId="0" borderId="25" xfId="0" applyFont="1" applyBorder="1"/>
    <xf numFmtId="0" fontId="4" fillId="0" borderId="31" xfId="0" applyFont="1" applyBorder="1" applyAlignment="1">
      <alignment horizontal="center"/>
    </xf>
    <xf numFmtId="0" fontId="4" fillId="0" borderId="31" xfId="0" applyFont="1" applyBorder="1"/>
    <xf numFmtId="0" fontId="4" fillId="0" borderId="32" xfId="0" applyFont="1" applyBorder="1"/>
    <xf numFmtId="0" fontId="5" fillId="0" borderId="37" xfId="0" applyFont="1" applyBorder="1"/>
    <xf numFmtId="0" fontId="2" fillId="0" borderId="32" xfId="0" applyFont="1" applyBorder="1"/>
    <xf numFmtId="0" fontId="2" fillId="0" borderId="37" xfId="0" applyFont="1" applyBorder="1"/>
    <xf numFmtId="0" fontId="4" fillId="0" borderId="9" xfId="0" applyFont="1" applyBorder="1" applyAlignment="1">
      <alignment horizontal="center"/>
    </xf>
    <xf numFmtId="0" fontId="4" fillId="0" borderId="18" xfId="0" applyFont="1" applyBorder="1"/>
    <xf numFmtId="0" fontId="5" fillId="0" borderId="38" xfId="0" applyFont="1" applyBorder="1"/>
    <xf numFmtId="0" fontId="5" fillId="0" borderId="19" xfId="0" applyFont="1" applyBorder="1"/>
    <xf numFmtId="0" fontId="5" fillId="0" borderId="39" xfId="0" applyFont="1" applyBorder="1"/>
    <xf numFmtId="0" fontId="5" fillId="0" borderId="10" xfId="0" applyFont="1" applyBorder="1"/>
    <xf numFmtId="0" fontId="5" fillId="0" borderId="40" xfId="0" applyFont="1" applyBorder="1"/>
    <xf numFmtId="0" fontId="4" fillId="0" borderId="17" xfId="0" applyFont="1" applyBorder="1"/>
    <xf numFmtId="0" fontId="4" fillId="0" borderId="14" xfId="0" applyFont="1" applyBorder="1"/>
    <xf numFmtId="0" fontId="4" fillId="0" borderId="16" xfId="0" applyFont="1" applyBorder="1"/>
    <xf numFmtId="0" fontId="4" fillId="0" borderId="41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5" fillId="0" borderId="30" xfId="0" applyFont="1" applyBorder="1"/>
    <xf numFmtId="0" fontId="4" fillId="0" borderId="42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/>
    <xf numFmtId="0" fontId="5" fillId="0" borderId="43" xfId="0" applyFont="1" applyBorder="1"/>
    <xf numFmtId="0" fontId="2" fillId="0" borderId="44" xfId="0" applyFont="1" applyBorder="1"/>
    <xf numFmtId="0" fontId="2" fillId="0" borderId="43" xfId="0" applyFont="1" applyBorder="1"/>
    <xf numFmtId="0" fontId="5" fillId="0" borderId="45" xfId="0" applyFont="1" applyBorder="1"/>
    <xf numFmtId="0" fontId="5" fillId="0" borderId="44" xfId="0" applyFont="1" applyBorder="1"/>
    <xf numFmtId="0" fontId="4" fillId="0" borderId="46" xfId="0" applyFont="1" applyBorder="1" applyAlignment="1">
      <alignment horizontal="center"/>
    </xf>
    <xf numFmtId="0" fontId="4" fillId="0" borderId="47" xfId="0" applyFont="1" applyBorder="1"/>
    <xf numFmtId="0" fontId="5" fillId="0" borderId="48" xfId="0" applyFont="1" applyBorder="1"/>
    <xf numFmtId="0" fontId="5" fillId="0" borderId="49" xfId="0" applyFont="1" applyBorder="1"/>
    <xf numFmtId="0" fontId="5" fillId="0" borderId="50" xfId="0" applyFont="1" applyBorder="1"/>
    <xf numFmtId="0" fontId="7" fillId="0" borderId="25" xfId="0" applyFont="1" applyBorder="1"/>
    <xf numFmtId="0" fontId="5" fillId="0" borderId="29" xfId="0" applyFont="1" applyBorder="1"/>
    <xf numFmtId="0" fontId="2" fillId="0" borderId="28" xfId="0" applyFont="1" applyBorder="1"/>
    <xf numFmtId="0" fontId="2" fillId="0" borderId="33" xfId="0" applyFont="1" applyBorder="1"/>
    <xf numFmtId="0" fontId="2" fillId="0" borderId="27" xfId="0" applyFont="1" applyBorder="1"/>
    <xf numFmtId="0" fontId="2" fillId="0" borderId="51" xfId="0" applyFont="1" applyBorder="1"/>
    <xf numFmtId="0" fontId="4" fillId="0" borderId="42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vertical="center"/>
    </xf>
    <xf numFmtId="0" fontId="5" fillId="0" borderId="18" xfId="0" applyFont="1" applyBorder="1"/>
    <xf numFmtId="0" fontId="5" fillId="0" borderId="0" xfId="0" applyFont="1" applyBorder="1"/>
    <xf numFmtId="0" fontId="2" fillId="0" borderId="38" xfId="0" applyFont="1" applyBorder="1"/>
    <xf numFmtId="0" fontId="2" fillId="0" borderId="45" xfId="0" applyFont="1" applyBorder="1"/>
    <xf numFmtId="0" fontId="4" fillId="0" borderId="15" xfId="0" applyFont="1" applyBorder="1"/>
    <xf numFmtId="0" fontId="4" fillId="0" borderId="52" xfId="0" applyFont="1" applyBorder="1"/>
    <xf numFmtId="0" fontId="5" fillId="0" borderId="16" xfId="0" applyFont="1" applyBorder="1"/>
    <xf numFmtId="0" fontId="5" fillId="0" borderId="32" xfId="0" applyFont="1" applyFill="1" applyBorder="1"/>
    <xf numFmtId="0" fontId="2" fillId="0" borderId="39" xfId="0" applyFont="1" applyBorder="1"/>
    <xf numFmtId="0" fontId="5" fillId="0" borderId="45" xfId="0" applyFont="1" applyFill="1" applyBorder="1"/>
    <xf numFmtId="0" fontId="4" fillId="0" borderId="14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0" borderId="3" xfId="0" applyFont="1" applyBorder="1"/>
    <xf numFmtId="0" fontId="4" fillId="0" borderId="5" xfId="0" applyFont="1" applyBorder="1" applyAlignment="1">
      <alignment vertical="center"/>
    </xf>
    <xf numFmtId="0" fontId="2" fillId="0" borderId="53" xfId="0" applyFont="1" applyBorder="1"/>
    <xf numFmtId="0" fontId="2" fillId="0" borderId="9" xfId="0" applyFont="1" applyBorder="1"/>
    <xf numFmtId="0" fontId="2" fillId="0" borderId="19" xfId="0" applyFont="1" applyBorder="1"/>
    <xf numFmtId="0" fontId="2" fillId="0" borderId="54" xfId="0" applyFont="1" applyBorder="1"/>
    <xf numFmtId="0" fontId="2" fillId="0" borderId="11" xfId="0" applyFont="1" applyBorder="1"/>
    <xf numFmtId="0" fontId="1" fillId="0" borderId="18" xfId="0" applyFont="1" applyBorder="1"/>
    <xf numFmtId="0" fontId="4" fillId="0" borderId="14" xfId="0" applyFont="1" applyBorder="1" applyAlignment="1">
      <alignment horizontal="center" vertical="center"/>
    </xf>
    <xf numFmtId="0" fontId="2" fillId="0" borderId="16" xfId="0" applyFont="1" applyBorder="1"/>
    <xf numFmtId="0" fontId="1" fillId="0" borderId="55" xfId="0" applyFont="1" applyBorder="1"/>
    <xf numFmtId="0" fontId="1" fillId="0" borderId="16" xfId="0" applyFont="1" applyBorder="1"/>
    <xf numFmtId="0" fontId="4" fillId="0" borderId="56" xfId="0" applyFont="1" applyBorder="1" applyAlignment="1">
      <alignment vertical="center"/>
    </xf>
    <xf numFmtId="0" fontId="2" fillId="0" borderId="22" xfId="0" applyFont="1" applyBorder="1"/>
    <xf numFmtId="0" fontId="2" fillId="0" borderId="29" xfId="0" applyFont="1" applyBorder="1"/>
    <xf numFmtId="0" fontId="2" fillId="0" borderId="30" xfId="0" applyFont="1" applyBorder="1"/>
    <xf numFmtId="0" fontId="1" fillId="0" borderId="22" xfId="0" applyFont="1" applyBorder="1"/>
    <xf numFmtId="0" fontId="4" fillId="0" borderId="41" xfId="0" applyFont="1" applyBorder="1" applyAlignment="1">
      <alignment vertical="center"/>
    </xf>
    <xf numFmtId="0" fontId="1" fillId="0" borderId="33" xfId="0" applyFont="1" applyBorder="1"/>
    <xf numFmtId="0" fontId="4" fillId="0" borderId="5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/>
    </xf>
    <xf numFmtId="0" fontId="4" fillId="0" borderId="41" xfId="0" applyFont="1" applyBorder="1"/>
    <xf numFmtId="0" fontId="4" fillId="0" borderId="9" xfId="0" applyFont="1" applyBorder="1"/>
    <xf numFmtId="0" fontId="2" fillId="0" borderId="58" xfId="0" applyFont="1" applyBorder="1"/>
    <xf numFmtId="0" fontId="2" fillId="0" borderId="10" xfId="0" applyFont="1" applyBorder="1"/>
    <xf numFmtId="0" fontId="2" fillId="0" borderId="55" xfId="0" applyFont="1" applyBorder="1"/>
    <xf numFmtId="0" fontId="2" fillId="0" borderId="59" xfId="0" applyFont="1" applyBorder="1"/>
    <xf numFmtId="0" fontId="2" fillId="0" borderId="60" xfId="0" applyFont="1" applyBorder="1"/>
    <xf numFmtId="0" fontId="4" fillId="0" borderId="41" xfId="0" applyFont="1" applyFill="1" applyBorder="1" applyAlignment="1">
      <alignment vertical="center"/>
    </xf>
    <xf numFmtId="0" fontId="5" fillId="0" borderId="9" xfId="0" applyFont="1" applyBorder="1"/>
    <xf numFmtId="0" fontId="1" fillId="0" borderId="19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61" xfId="0" applyFont="1" applyBorder="1"/>
    <xf numFmtId="0" fontId="5" fillId="0" borderId="5" xfId="0" applyFont="1" applyBorder="1"/>
    <xf numFmtId="0" fontId="2" fillId="0" borderId="0" xfId="0" applyFont="1" applyBorder="1"/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62" xfId="0" applyFont="1" applyBorder="1"/>
    <xf numFmtId="0" fontId="2" fillId="0" borderId="63" xfId="0" applyFont="1" applyBorder="1"/>
    <xf numFmtId="0" fontId="9" fillId="0" borderId="62" xfId="0" applyFont="1" applyBorder="1"/>
    <xf numFmtId="0" fontId="9" fillId="0" borderId="63" xfId="0" applyFont="1" applyBorder="1"/>
    <xf numFmtId="0" fontId="9" fillId="0" borderId="60" xfId="0" applyFont="1" applyBorder="1"/>
    <xf numFmtId="0" fontId="9" fillId="0" borderId="27" xfId="0" applyFont="1" applyBorder="1"/>
    <xf numFmtId="0" fontId="2" fillId="0" borderId="8" xfId="0" applyFont="1" applyBorder="1"/>
    <xf numFmtId="0" fontId="8" fillId="0" borderId="8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12" xfId="0" applyFont="1" applyBorder="1"/>
    <xf numFmtId="0" fontId="3" fillId="0" borderId="0" xfId="0" applyFont="1" applyBorder="1"/>
    <xf numFmtId="0" fontId="3" fillId="0" borderId="45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/>
    <xf numFmtId="0" fontId="3" fillId="0" borderId="45" xfId="0" applyFont="1" applyBorder="1" applyAlignment="1"/>
    <xf numFmtId="0" fontId="3" fillId="0" borderId="3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 applyAlignment="1">
      <alignment horizontal="center"/>
    </xf>
    <xf numFmtId="0" fontId="3" fillId="0" borderId="11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4" xfId="0" applyFont="1" applyBorder="1"/>
    <xf numFmtId="0" fontId="3" fillId="0" borderId="58" xfId="0" applyFont="1" applyBorder="1"/>
    <xf numFmtId="0" fontId="2" fillId="0" borderId="65" xfId="0" applyFont="1" applyBorder="1"/>
    <xf numFmtId="0" fontId="2" fillId="0" borderId="31" xfId="0" applyFont="1" applyBorder="1"/>
    <xf numFmtId="0" fontId="10" fillId="0" borderId="62" xfId="0" applyFont="1" applyBorder="1"/>
    <xf numFmtId="0" fontId="10" fillId="0" borderId="62" xfId="0" applyFont="1" applyFill="1" applyBorder="1"/>
    <xf numFmtId="0" fontId="10" fillId="0" borderId="63" xfId="0" applyFont="1" applyFill="1" applyBorder="1"/>
    <xf numFmtId="0" fontId="10" fillId="0" borderId="66" xfId="0" applyFont="1" applyFill="1" applyBorder="1"/>
    <xf numFmtId="0" fontId="14" fillId="0" borderId="62" xfId="0" applyFont="1" applyBorder="1"/>
    <xf numFmtId="0" fontId="13" fillId="0" borderId="67" xfId="0" applyFont="1" applyFill="1" applyBorder="1"/>
    <xf numFmtId="0" fontId="3" fillId="0" borderId="63" xfId="0" applyFont="1" applyBorder="1" applyAlignment="1"/>
    <xf numFmtId="0" fontId="12" fillId="0" borderId="67" xfId="0" applyFont="1" applyBorder="1"/>
    <xf numFmtId="0" fontId="3" fillId="0" borderId="63" xfId="0" applyFont="1" applyBorder="1"/>
    <xf numFmtId="0" fontId="10" fillId="0" borderId="68" xfId="0" applyFont="1" applyBorder="1"/>
    <xf numFmtId="0" fontId="10" fillId="0" borderId="68" xfId="0" applyFont="1" applyFill="1" applyBorder="1"/>
    <xf numFmtId="0" fontId="10" fillId="0" borderId="44" xfId="0" applyFont="1" applyFill="1" applyBorder="1"/>
    <xf numFmtId="0" fontId="10" fillId="0" borderId="0" xfId="0" applyFont="1" applyFill="1" applyBorder="1"/>
    <xf numFmtId="0" fontId="14" fillId="0" borderId="68" xfId="0" applyFont="1" applyBorder="1"/>
    <xf numFmtId="0" fontId="10" fillId="0" borderId="0" xfId="0" applyFont="1" applyBorder="1"/>
    <xf numFmtId="0" fontId="13" fillId="0" borderId="65" xfId="0" applyFont="1" applyFill="1" applyBorder="1"/>
    <xf numFmtId="0" fontId="3" fillId="0" borderId="27" xfId="0" applyFont="1" applyBorder="1"/>
    <xf numFmtId="0" fontId="12" fillId="0" borderId="69" xfId="0" applyFont="1" applyBorder="1"/>
    <xf numFmtId="0" fontId="3" fillId="0" borderId="44" xfId="0" applyFont="1" applyBorder="1"/>
    <xf numFmtId="0" fontId="10" fillId="0" borderId="44" xfId="0" applyFont="1" applyBorder="1"/>
    <xf numFmtId="0" fontId="11" fillId="0" borderId="68" xfId="0" applyFont="1" applyBorder="1"/>
    <xf numFmtId="0" fontId="3" fillId="0" borderId="65" xfId="0" applyFont="1" applyBorder="1"/>
    <xf numFmtId="0" fontId="13" fillId="0" borderId="27" xfId="0" applyFont="1" applyBorder="1"/>
    <xf numFmtId="0" fontId="2" fillId="0" borderId="8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" fillId="0" borderId="10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5" fillId="0" borderId="1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8" fillId="0" borderId="10" xfId="0" applyFont="1" applyBorder="1" applyAlignment="1">
      <alignment horizontal="right"/>
    </xf>
    <xf numFmtId="0" fontId="1" fillId="0" borderId="51" xfId="0" applyFont="1" applyBorder="1" applyAlignment="1">
      <alignment horizontal="right"/>
    </xf>
    <xf numFmtId="0" fontId="15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0" xfId="0" applyFont="1" applyFill="1" applyBorder="1" applyAlignment="1"/>
    <xf numFmtId="0" fontId="3" fillId="0" borderId="45" xfId="0" applyFont="1" applyFill="1" applyBorder="1" applyAlignment="1"/>
    <xf numFmtId="0" fontId="16" fillId="0" borderId="0" xfId="0" applyFont="1" applyAlignment="1">
      <alignment horizontal="center"/>
    </xf>
    <xf numFmtId="0" fontId="11" fillId="0" borderId="5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E37" sqref="E37"/>
    </sheetView>
  </sheetViews>
  <sheetFormatPr defaultRowHeight="15"/>
  <sheetData>
    <row r="1" spans="1:14" ht="18.75">
      <c r="A1" s="227" t="s">
        <v>170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2" spans="1:14" ht="18.75">
      <c r="A2" s="228" t="s">
        <v>1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</row>
    <row r="3" spans="1:14" ht="16.5" thickBot="1">
      <c r="A3" s="229" t="s">
        <v>2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</row>
    <row r="4" spans="1:14" ht="16.5" thickBot="1">
      <c r="A4" s="1" t="s">
        <v>3</v>
      </c>
      <c r="B4" s="2" t="s">
        <v>4</v>
      </c>
      <c r="C4" s="230" t="s">
        <v>5</v>
      </c>
      <c r="D4" s="231"/>
      <c r="E4" s="230" t="s">
        <v>6</v>
      </c>
      <c r="F4" s="231"/>
      <c r="G4" s="230" t="s">
        <v>7</v>
      </c>
      <c r="H4" s="231"/>
      <c r="I4" s="230" t="s">
        <v>8</v>
      </c>
      <c r="J4" s="231"/>
      <c r="K4" s="230" t="s">
        <v>9</v>
      </c>
      <c r="L4" s="231"/>
      <c r="M4" s="225" t="s">
        <v>10</v>
      </c>
      <c r="N4" s="226"/>
    </row>
    <row r="5" spans="1:14" ht="15.75">
      <c r="A5" s="3"/>
      <c r="B5" s="4"/>
      <c r="C5" s="5" t="s">
        <v>0</v>
      </c>
      <c r="D5" s="6" t="s">
        <v>11</v>
      </c>
      <c r="E5" s="7" t="s">
        <v>0</v>
      </c>
      <c r="F5" s="6" t="s">
        <v>11</v>
      </c>
      <c r="G5" s="7" t="s">
        <v>0</v>
      </c>
      <c r="H5" s="6" t="s">
        <v>11</v>
      </c>
      <c r="I5" s="7" t="s">
        <v>0</v>
      </c>
      <c r="J5" s="6" t="s">
        <v>11</v>
      </c>
      <c r="K5" s="7" t="s">
        <v>0</v>
      </c>
      <c r="L5" s="6" t="s">
        <v>11</v>
      </c>
      <c r="M5" s="8" t="s">
        <v>0</v>
      </c>
      <c r="N5" s="9" t="s">
        <v>11</v>
      </c>
    </row>
    <row r="6" spans="1:14" ht="16.5" thickBot="1">
      <c r="A6" s="10">
        <v>1</v>
      </c>
      <c r="B6" s="10" t="s">
        <v>12</v>
      </c>
      <c r="C6" s="11">
        <v>24002</v>
      </c>
      <c r="D6" s="11">
        <v>191212</v>
      </c>
      <c r="E6" s="12">
        <v>3387</v>
      </c>
      <c r="F6" s="13">
        <v>25962</v>
      </c>
      <c r="G6" s="12">
        <v>509</v>
      </c>
      <c r="H6" s="13">
        <v>155</v>
      </c>
      <c r="I6" s="12">
        <v>86</v>
      </c>
      <c r="J6" s="13">
        <v>48</v>
      </c>
      <c r="K6" s="12">
        <v>156</v>
      </c>
      <c r="L6" s="13">
        <v>28</v>
      </c>
      <c r="M6" s="14">
        <f t="shared" ref="M6:N16" si="0">C6+E6+G6+I6+K6</f>
        <v>28140</v>
      </c>
      <c r="N6" s="15">
        <f t="shared" si="0"/>
        <v>217405</v>
      </c>
    </row>
    <row r="7" spans="1:14" ht="16.5" thickBot="1">
      <c r="A7" s="10">
        <v>2</v>
      </c>
      <c r="B7" s="10" t="s">
        <v>13</v>
      </c>
      <c r="C7" s="11">
        <v>24503</v>
      </c>
      <c r="D7" s="11">
        <v>44619</v>
      </c>
      <c r="E7" s="12">
        <v>3545</v>
      </c>
      <c r="F7" s="13">
        <v>9663</v>
      </c>
      <c r="G7" s="12">
        <v>560</v>
      </c>
      <c r="H7" s="13">
        <v>82</v>
      </c>
      <c r="I7" s="12">
        <v>81</v>
      </c>
      <c r="J7" s="13">
        <v>28</v>
      </c>
      <c r="K7" s="12">
        <v>171</v>
      </c>
      <c r="L7" s="13">
        <v>20</v>
      </c>
      <c r="M7" s="14">
        <f t="shared" si="0"/>
        <v>28860</v>
      </c>
      <c r="N7" s="15">
        <f t="shared" si="0"/>
        <v>54412</v>
      </c>
    </row>
    <row r="8" spans="1:14" ht="16.5" thickBot="1">
      <c r="A8" s="10">
        <v>3</v>
      </c>
      <c r="B8" s="10" t="s">
        <v>14</v>
      </c>
      <c r="C8" s="11">
        <v>25372</v>
      </c>
      <c r="D8" s="11">
        <v>87906</v>
      </c>
      <c r="E8" s="12">
        <v>3539</v>
      </c>
      <c r="F8" s="13">
        <v>22323</v>
      </c>
      <c r="G8" s="12">
        <v>514</v>
      </c>
      <c r="H8" s="13">
        <v>48</v>
      </c>
      <c r="I8" s="12">
        <v>63</v>
      </c>
      <c r="J8" s="13">
        <v>18</v>
      </c>
      <c r="K8" s="12">
        <v>154</v>
      </c>
      <c r="L8" s="13">
        <v>18</v>
      </c>
      <c r="M8" s="14">
        <f t="shared" si="0"/>
        <v>29642</v>
      </c>
      <c r="N8" s="15">
        <f t="shared" si="0"/>
        <v>110313</v>
      </c>
    </row>
    <row r="9" spans="1:14" ht="16.5" thickBot="1">
      <c r="A9" s="10">
        <v>4</v>
      </c>
      <c r="B9" s="10" t="s">
        <v>15</v>
      </c>
      <c r="C9" s="11">
        <v>25624</v>
      </c>
      <c r="D9" s="11">
        <v>152654</v>
      </c>
      <c r="E9" s="12">
        <v>3555</v>
      </c>
      <c r="F9" s="13">
        <v>35491</v>
      </c>
      <c r="G9" s="12">
        <v>509</v>
      </c>
      <c r="H9" s="13">
        <v>50</v>
      </c>
      <c r="I9" s="12">
        <v>68</v>
      </c>
      <c r="J9" s="13">
        <v>11</v>
      </c>
      <c r="K9" s="12">
        <v>168</v>
      </c>
      <c r="L9" s="13">
        <v>15</v>
      </c>
      <c r="M9" s="14">
        <f t="shared" si="0"/>
        <v>29924</v>
      </c>
      <c r="N9" s="15">
        <f t="shared" si="0"/>
        <v>188221</v>
      </c>
    </row>
    <row r="10" spans="1:14" ht="16.5" thickBot="1">
      <c r="A10" s="10">
        <v>5</v>
      </c>
      <c r="B10" s="10" t="s">
        <v>16</v>
      </c>
      <c r="C10" s="11">
        <v>25813</v>
      </c>
      <c r="D10" s="11">
        <v>104589</v>
      </c>
      <c r="E10" s="12">
        <v>3409</v>
      </c>
      <c r="F10" s="13">
        <v>18147</v>
      </c>
      <c r="G10" s="12">
        <v>358</v>
      </c>
      <c r="H10" s="13">
        <v>70</v>
      </c>
      <c r="I10" s="12">
        <v>65</v>
      </c>
      <c r="J10" s="13">
        <v>8</v>
      </c>
      <c r="K10" s="12">
        <v>178</v>
      </c>
      <c r="L10" s="13">
        <v>14</v>
      </c>
      <c r="M10" s="14">
        <f t="shared" si="0"/>
        <v>29823</v>
      </c>
      <c r="N10" s="15">
        <f t="shared" si="0"/>
        <v>122828</v>
      </c>
    </row>
    <row r="11" spans="1:14" ht="16.5" thickBot="1">
      <c r="A11" s="10">
        <v>6</v>
      </c>
      <c r="B11" s="10" t="s">
        <v>17</v>
      </c>
      <c r="C11" s="11">
        <v>26029</v>
      </c>
      <c r="D11" s="11">
        <v>143475</v>
      </c>
      <c r="E11" s="12">
        <v>3318</v>
      </c>
      <c r="F11" s="13">
        <v>35746</v>
      </c>
      <c r="G11" s="12">
        <v>322</v>
      </c>
      <c r="H11" s="13">
        <v>46</v>
      </c>
      <c r="I11" s="12">
        <v>56</v>
      </c>
      <c r="J11" s="13">
        <v>10</v>
      </c>
      <c r="K11" s="12">
        <v>178</v>
      </c>
      <c r="L11" s="13">
        <v>19</v>
      </c>
      <c r="M11" s="14">
        <f t="shared" si="0"/>
        <v>29903</v>
      </c>
      <c r="N11" s="15">
        <f t="shared" si="0"/>
        <v>179296</v>
      </c>
    </row>
    <row r="12" spans="1:14" ht="16.5" thickBot="1">
      <c r="A12" s="10">
        <v>7</v>
      </c>
      <c r="B12" s="10" t="s">
        <v>18</v>
      </c>
      <c r="C12" s="11">
        <v>26633</v>
      </c>
      <c r="D12" s="11">
        <v>89570</v>
      </c>
      <c r="E12" s="12">
        <v>3291</v>
      </c>
      <c r="F12" s="16">
        <v>18269</v>
      </c>
      <c r="G12" s="12">
        <v>272</v>
      </c>
      <c r="H12" s="13">
        <v>54</v>
      </c>
      <c r="I12" s="12">
        <v>48</v>
      </c>
      <c r="J12" s="13">
        <v>8</v>
      </c>
      <c r="K12" s="12">
        <v>183</v>
      </c>
      <c r="L12" s="13">
        <v>37</v>
      </c>
      <c r="M12" s="14">
        <f t="shared" si="0"/>
        <v>30427</v>
      </c>
      <c r="N12" s="15">
        <f t="shared" si="0"/>
        <v>107938</v>
      </c>
    </row>
    <row r="13" spans="1:14" ht="16.5" thickBot="1">
      <c r="A13" s="10">
        <v>8</v>
      </c>
      <c r="B13" s="10" t="s">
        <v>19</v>
      </c>
      <c r="C13" s="11">
        <v>26794</v>
      </c>
      <c r="D13" s="11">
        <v>78948</v>
      </c>
      <c r="E13" s="12">
        <v>3346</v>
      </c>
      <c r="F13" s="17">
        <v>17198</v>
      </c>
      <c r="G13" s="12">
        <v>273</v>
      </c>
      <c r="H13" s="13">
        <v>67</v>
      </c>
      <c r="I13" s="12">
        <v>45</v>
      </c>
      <c r="J13" s="13">
        <v>9</v>
      </c>
      <c r="K13" s="12">
        <v>190</v>
      </c>
      <c r="L13" s="13">
        <v>44</v>
      </c>
      <c r="M13" s="14">
        <f t="shared" si="0"/>
        <v>30648</v>
      </c>
      <c r="N13" s="15">
        <f t="shared" si="0"/>
        <v>96266</v>
      </c>
    </row>
    <row r="14" spans="1:14" ht="16.5" thickBot="1">
      <c r="A14" s="10">
        <v>9</v>
      </c>
      <c r="B14" s="10" t="s">
        <v>20</v>
      </c>
      <c r="C14" s="18">
        <v>27053</v>
      </c>
      <c r="D14" s="18">
        <v>76019</v>
      </c>
      <c r="E14" s="19">
        <v>3448</v>
      </c>
      <c r="F14" s="20">
        <v>8498</v>
      </c>
      <c r="G14" s="21">
        <v>266</v>
      </c>
      <c r="H14" s="22">
        <v>33</v>
      </c>
      <c r="I14" s="21">
        <v>41</v>
      </c>
      <c r="J14" s="22">
        <v>13</v>
      </c>
      <c r="K14" s="21">
        <v>196</v>
      </c>
      <c r="L14" s="22">
        <v>39</v>
      </c>
      <c r="M14" s="23">
        <f t="shared" si="0"/>
        <v>31004</v>
      </c>
      <c r="N14" s="24">
        <f t="shared" si="0"/>
        <v>84602</v>
      </c>
    </row>
    <row r="15" spans="1:14" ht="16.5" thickBot="1">
      <c r="A15" s="10">
        <v>10</v>
      </c>
      <c r="B15" s="10" t="s">
        <v>21</v>
      </c>
      <c r="C15" s="25">
        <v>27209</v>
      </c>
      <c r="D15" s="25">
        <v>131194</v>
      </c>
      <c r="E15" s="26">
        <v>3425</v>
      </c>
      <c r="F15" s="16">
        <v>14102</v>
      </c>
      <c r="G15" s="26">
        <v>243</v>
      </c>
      <c r="H15" s="16">
        <v>35</v>
      </c>
      <c r="I15" s="26">
        <v>39</v>
      </c>
      <c r="J15" s="16">
        <v>17</v>
      </c>
      <c r="K15" s="26">
        <v>201</v>
      </c>
      <c r="L15" s="16">
        <v>60</v>
      </c>
      <c r="M15" s="27">
        <f t="shared" si="0"/>
        <v>31117</v>
      </c>
      <c r="N15" s="28">
        <f t="shared" si="0"/>
        <v>145408</v>
      </c>
    </row>
    <row r="16" spans="1:14" ht="16.5" thickBot="1">
      <c r="A16" s="10">
        <v>11</v>
      </c>
      <c r="B16" s="10" t="s">
        <v>22</v>
      </c>
      <c r="C16" s="29">
        <v>27258</v>
      </c>
      <c r="D16" s="29">
        <v>92260</v>
      </c>
      <c r="E16" s="30">
        <v>3467</v>
      </c>
      <c r="F16" s="17">
        <v>7353</v>
      </c>
      <c r="G16" s="30">
        <v>218</v>
      </c>
      <c r="H16" s="17">
        <v>40</v>
      </c>
      <c r="I16" s="30">
        <v>39</v>
      </c>
      <c r="J16" s="17">
        <v>12</v>
      </c>
      <c r="K16" s="30">
        <v>202</v>
      </c>
      <c r="L16" s="17">
        <v>35</v>
      </c>
      <c r="M16" s="31">
        <f t="shared" si="0"/>
        <v>31184</v>
      </c>
      <c r="N16" s="32">
        <f t="shared" si="0"/>
        <v>99700</v>
      </c>
    </row>
  </sheetData>
  <mergeCells count="9">
    <mergeCell ref="M4:N4"/>
    <mergeCell ref="A1:N1"/>
    <mergeCell ref="A2:N2"/>
    <mergeCell ref="A3:N3"/>
    <mergeCell ref="C4:D4"/>
    <mergeCell ref="E4:F4"/>
    <mergeCell ref="G4:H4"/>
    <mergeCell ref="I4:J4"/>
    <mergeCell ref="K4:L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55"/>
  <sheetViews>
    <sheetView workbookViewId="0">
      <selection sqref="A1:X3"/>
    </sheetView>
  </sheetViews>
  <sheetFormatPr defaultRowHeight="15"/>
  <sheetData>
    <row r="1" spans="1:24" ht="18.75">
      <c r="A1" s="227" t="s">
        <v>171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</row>
    <row r="2" spans="1:24" ht="15.75">
      <c r="A2" s="234" t="s">
        <v>1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</row>
    <row r="3" spans="1:24" ht="16.5" thickBot="1">
      <c r="A3" s="229" t="s">
        <v>2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</row>
    <row r="4" spans="1:24" ht="16.5" thickBot="1">
      <c r="A4" s="34" t="s">
        <v>23</v>
      </c>
      <c r="B4" s="35" t="s">
        <v>24</v>
      </c>
      <c r="C4" s="232" t="s">
        <v>25</v>
      </c>
      <c r="D4" s="233"/>
      <c r="E4" s="235" t="s">
        <v>26</v>
      </c>
      <c r="F4" s="235"/>
      <c r="G4" s="232" t="s">
        <v>27</v>
      </c>
      <c r="H4" s="233"/>
      <c r="I4" s="235" t="s">
        <v>28</v>
      </c>
      <c r="J4" s="235"/>
      <c r="K4" s="232" t="s">
        <v>29</v>
      </c>
      <c r="L4" s="233"/>
      <c r="M4" s="232" t="s">
        <v>30</v>
      </c>
      <c r="N4" s="233"/>
      <c r="O4" s="232" t="s">
        <v>31</v>
      </c>
      <c r="P4" s="233"/>
      <c r="Q4" s="232" t="s">
        <v>32</v>
      </c>
      <c r="R4" s="233"/>
      <c r="S4" s="232" t="s">
        <v>33</v>
      </c>
      <c r="T4" s="233"/>
      <c r="U4" s="232" t="s">
        <v>34</v>
      </c>
      <c r="V4" s="233"/>
      <c r="W4" s="232" t="s">
        <v>35</v>
      </c>
      <c r="X4" s="233"/>
    </row>
    <row r="5" spans="1:24" ht="16.5" thickBot="1">
      <c r="A5" s="36"/>
      <c r="B5" s="37" t="s">
        <v>36</v>
      </c>
      <c r="C5" s="38" t="s">
        <v>0</v>
      </c>
      <c r="D5" s="39" t="s">
        <v>11</v>
      </c>
      <c r="E5" s="40" t="s">
        <v>0</v>
      </c>
      <c r="F5" s="41" t="s">
        <v>11</v>
      </c>
      <c r="G5" s="38" t="s">
        <v>0</v>
      </c>
      <c r="H5" s="39" t="s">
        <v>11</v>
      </c>
      <c r="I5" s="40" t="s">
        <v>0</v>
      </c>
      <c r="J5" s="41" t="s">
        <v>11</v>
      </c>
      <c r="K5" s="38" t="s">
        <v>0</v>
      </c>
      <c r="L5" s="39" t="s">
        <v>11</v>
      </c>
      <c r="M5" s="38" t="s">
        <v>0</v>
      </c>
      <c r="N5" s="39" t="s">
        <v>11</v>
      </c>
      <c r="O5" s="38" t="s">
        <v>0</v>
      </c>
      <c r="P5" s="39" t="s">
        <v>11</v>
      </c>
      <c r="Q5" s="40" t="s">
        <v>0</v>
      </c>
      <c r="R5" s="39" t="s">
        <v>11</v>
      </c>
      <c r="S5" s="38" t="s">
        <v>0</v>
      </c>
      <c r="T5" s="39" t="s">
        <v>11</v>
      </c>
      <c r="U5" s="38" t="s">
        <v>0</v>
      </c>
      <c r="V5" s="39" t="s">
        <v>11</v>
      </c>
      <c r="W5" s="38" t="s">
        <v>0</v>
      </c>
      <c r="X5" s="39" t="s">
        <v>11</v>
      </c>
    </row>
    <row r="6" spans="1:24" ht="15.75">
      <c r="A6" s="42">
        <v>1</v>
      </c>
      <c r="B6" s="43" t="s">
        <v>5</v>
      </c>
      <c r="C6" s="44">
        <v>24002</v>
      </c>
      <c r="D6" s="45">
        <v>191212</v>
      </c>
      <c r="E6" s="46">
        <v>24503</v>
      </c>
      <c r="F6" s="47">
        <v>44619</v>
      </c>
      <c r="G6" s="44">
        <v>25372</v>
      </c>
      <c r="H6" s="48">
        <v>87906</v>
      </c>
      <c r="I6" s="49">
        <v>25624</v>
      </c>
      <c r="J6" s="50">
        <v>152654</v>
      </c>
      <c r="K6" s="44">
        <v>25813</v>
      </c>
      <c r="L6" s="48">
        <v>104589</v>
      </c>
      <c r="M6" s="51">
        <v>26029</v>
      </c>
      <c r="N6" s="52">
        <v>143475</v>
      </c>
      <c r="O6" s="53">
        <v>26633</v>
      </c>
      <c r="P6" s="52">
        <v>89570</v>
      </c>
      <c r="Q6" s="54">
        <v>26794</v>
      </c>
      <c r="R6" s="52">
        <v>78948</v>
      </c>
      <c r="S6" s="53">
        <v>27053</v>
      </c>
      <c r="T6" s="52">
        <v>76019</v>
      </c>
      <c r="U6" s="53">
        <v>27209</v>
      </c>
      <c r="V6" s="52">
        <v>131194</v>
      </c>
      <c r="W6" s="53">
        <v>27258</v>
      </c>
      <c r="X6" s="52">
        <v>92260</v>
      </c>
    </row>
    <row r="7" spans="1:24" ht="15.75">
      <c r="A7" s="55">
        <v>2</v>
      </c>
      <c r="B7" s="56" t="s">
        <v>37</v>
      </c>
      <c r="C7" s="57">
        <v>2080</v>
      </c>
      <c r="D7" s="58">
        <v>8035</v>
      </c>
      <c r="E7" s="59">
        <v>2123</v>
      </c>
      <c r="F7" s="60">
        <v>5631</v>
      </c>
      <c r="G7" s="57">
        <v>2143</v>
      </c>
      <c r="H7" s="61">
        <v>7463</v>
      </c>
      <c r="I7" s="62">
        <v>2125</v>
      </c>
      <c r="J7" s="63">
        <v>11198</v>
      </c>
      <c r="K7" s="57">
        <v>2070</v>
      </c>
      <c r="L7" s="61">
        <v>5518</v>
      </c>
      <c r="M7" s="64">
        <v>2074</v>
      </c>
      <c r="N7" s="65">
        <v>13665</v>
      </c>
      <c r="O7" s="64">
        <v>2064</v>
      </c>
      <c r="P7" s="65">
        <v>9669</v>
      </c>
      <c r="Q7" s="66">
        <v>2099</v>
      </c>
      <c r="R7" s="67">
        <v>7134</v>
      </c>
      <c r="S7" s="64">
        <v>2140</v>
      </c>
      <c r="T7" s="67">
        <v>4102</v>
      </c>
      <c r="U7" s="68">
        <v>2158</v>
      </c>
      <c r="V7" s="67">
        <v>7648</v>
      </c>
      <c r="W7" s="64">
        <v>2201</v>
      </c>
      <c r="X7" s="67">
        <v>3999</v>
      </c>
    </row>
    <row r="8" spans="1:24" ht="15.75">
      <c r="A8" s="55">
        <v>3</v>
      </c>
      <c r="B8" s="56" t="s">
        <v>38</v>
      </c>
      <c r="C8" s="57">
        <v>39</v>
      </c>
      <c r="D8" s="58">
        <v>140</v>
      </c>
      <c r="E8" s="59">
        <v>63</v>
      </c>
      <c r="F8" s="60">
        <v>70</v>
      </c>
      <c r="G8" s="57">
        <v>59</v>
      </c>
      <c r="H8" s="61">
        <v>118</v>
      </c>
      <c r="I8" s="62">
        <v>58</v>
      </c>
      <c r="J8" s="63">
        <v>95</v>
      </c>
      <c r="K8" s="57">
        <v>56</v>
      </c>
      <c r="L8" s="61">
        <v>381</v>
      </c>
      <c r="M8" s="64">
        <v>50</v>
      </c>
      <c r="N8" s="65">
        <v>356</v>
      </c>
      <c r="O8" s="64">
        <v>49</v>
      </c>
      <c r="P8" s="65">
        <v>195</v>
      </c>
      <c r="Q8" s="66">
        <v>45</v>
      </c>
      <c r="R8" s="67">
        <v>224</v>
      </c>
      <c r="S8" s="64">
        <v>41</v>
      </c>
      <c r="T8" s="67">
        <v>109</v>
      </c>
      <c r="U8" s="68">
        <v>34</v>
      </c>
      <c r="V8" s="67">
        <v>103</v>
      </c>
      <c r="W8" s="64">
        <v>32</v>
      </c>
      <c r="X8" s="67">
        <v>60</v>
      </c>
    </row>
    <row r="9" spans="1:24" ht="15.75">
      <c r="A9" s="55">
        <v>4</v>
      </c>
      <c r="B9" s="56" t="s">
        <v>39</v>
      </c>
      <c r="C9" s="57">
        <v>239</v>
      </c>
      <c r="D9" s="58">
        <v>140</v>
      </c>
      <c r="E9" s="59">
        <v>271</v>
      </c>
      <c r="F9" s="60">
        <v>46</v>
      </c>
      <c r="G9" s="57">
        <v>262</v>
      </c>
      <c r="H9" s="61">
        <v>38</v>
      </c>
      <c r="I9" s="62">
        <v>258</v>
      </c>
      <c r="J9" s="63">
        <v>152</v>
      </c>
      <c r="K9" s="57">
        <v>246</v>
      </c>
      <c r="L9" s="61">
        <v>774</v>
      </c>
      <c r="M9" s="64">
        <v>217</v>
      </c>
      <c r="N9" s="65">
        <v>612</v>
      </c>
      <c r="O9" s="64">
        <v>190</v>
      </c>
      <c r="P9" s="65">
        <v>290</v>
      </c>
      <c r="Q9" s="66">
        <v>185</v>
      </c>
      <c r="R9" s="67">
        <v>302</v>
      </c>
      <c r="S9" s="64">
        <v>174</v>
      </c>
      <c r="T9" s="67">
        <v>272</v>
      </c>
      <c r="U9" s="68">
        <v>148</v>
      </c>
      <c r="V9" s="67">
        <v>283</v>
      </c>
      <c r="W9" s="64">
        <v>132</v>
      </c>
      <c r="X9" s="67">
        <v>196</v>
      </c>
    </row>
    <row r="10" spans="1:24" ht="15.75">
      <c r="A10" s="55">
        <v>5</v>
      </c>
      <c r="B10" s="56" t="s">
        <v>40</v>
      </c>
      <c r="C10" s="57">
        <v>492</v>
      </c>
      <c r="D10" s="58">
        <v>17140</v>
      </c>
      <c r="E10" s="59">
        <v>507</v>
      </c>
      <c r="F10" s="60">
        <v>3465</v>
      </c>
      <c r="G10" s="57">
        <v>491</v>
      </c>
      <c r="H10" s="61">
        <v>13612</v>
      </c>
      <c r="I10" s="62">
        <v>489</v>
      </c>
      <c r="J10" s="63">
        <v>21841</v>
      </c>
      <c r="K10" s="57">
        <v>466</v>
      </c>
      <c r="L10" s="61">
        <v>10033</v>
      </c>
      <c r="M10" s="64">
        <v>397</v>
      </c>
      <c r="N10" s="65">
        <v>19170</v>
      </c>
      <c r="O10" s="64">
        <v>391</v>
      </c>
      <c r="P10" s="65">
        <v>6278</v>
      </c>
      <c r="Q10" s="66">
        <v>391</v>
      </c>
      <c r="R10" s="67">
        <v>7279</v>
      </c>
      <c r="S10" s="64">
        <v>385</v>
      </c>
      <c r="T10" s="67">
        <v>1552</v>
      </c>
      <c r="U10" s="68">
        <v>384</v>
      </c>
      <c r="V10" s="67">
        <v>4119</v>
      </c>
      <c r="W10" s="64">
        <v>386</v>
      </c>
      <c r="X10" s="67">
        <v>1589</v>
      </c>
    </row>
    <row r="11" spans="1:24" ht="15.75">
      <c r="A11" s="69">
        <v>6</v>
      </c>
      <c r="B11" s="70" t="s">
        <v>41</v>
      </c>
      <c r="C11" s="57">
        <v>61</v>
      </c>
      <c r="D11" s="58">
        <v>41</v>
      </c>
      <c r="E11" s="59">
        <v>68</v>
      </c>
      <c r="F11" s="60">
        <v>8</v>
      </c>
      <c r="G11" s="57">
        <v>39</v>
      </c>
      <c r="H11" s="61">
        <v>11</v>
      </c>
      <c r="I11" s="62">
        <v>39</v>
      </c>
      <c r="J11" s="63">
        <v>8</v>
      </c>
      <c r="K11" s="57">
        <v>35</v>
      </c>
      <c r="L11" s="61">
        <v>17</v>
      </c>
      <c r="M11" s="64">
        <v>33</v>
      </c>
      <c r="N11" s="65">
        <v>13</v>
      </c>
      <c r="O11" s="64">
        <v>30</v>
      </c>
      <c r="P11" s="65">
        <v>8</v>
      </c>
      <c r="Q11" s="66">
        <v>30</v>
      </c>
      <c r="R11" s="67">
        <v>6</v>
      </c>
      <c r="S11" s="64">
        <v>28</v>
      </c>
      <c r="T11" s="67">
        <v>4</v>
      </c>
      <c r="U11" s="68">
        <v>25</v>
      </c>
      <c r="V11" s="67">
        <v>5</v>
      </c>
      <c r="W11" s="64">
        <v>18</v>
      </c>
      <c r="X11" s="67">
        <v>4</v>
      </c>
    </row>
    <row r="12" spans="1:24" ht="15.75">
      <c r="A12" s="55">
        <v>7</v>
      </c>
      <c r="B12" s="56" t="s">
        <v>42</v>
      </c>
      <c r="C12" s="57">
        <v>32</v>
      </c>
      <c r="D12" s="58">
        <v>20</v>
      </c>
      <c r="E12" s="59">
        <v>32</v>
      </c>
      <c r="F12" s="60">
        <v>3</v>
      </c>
      <c r="G12" s="57">
        <v>32</v>
      </c>
      <c r="H12" s="61">
        <v>54</v>
      </c>
      <c r="I12" s="62">
        <v>34</v>
      </c>
      <c r="J12" s="63">
        <v>2</v>
      </c>
      <c r="K12" s="57">
        <v>37</v>
      </c>
      <c r="L12" s="61">
        <v>62</v>
      </c>
      <c r="M12" s="64">
        <v>40</v>
      </c>
      <c r="N12" s="65">
        <v>38</v>
      </c>
      <c r="O12" s="64">
        <v>40</v>
      </c>
      <c r="P12" s="65">
        <v>17</v>
      </c>
      <c r="Q12" s="66">
        <v>39</v>
      </c>
      <c r="R12" s="67">
        <v>23</v>
      </c>
      <c r="S12" s="64">
        <v>61</v>
      </c>
      <c r="T12" s="67">
        <v>10</v>
      </c>
      <c r="U12" s="68">
        <v>52</v>
      </c>
      <c r="V12" s="67">
        <v>9</v>
      </c>
      <c r="W12" s="64">
        <v>50</v>
      </c>
      <c r="X12" s="67">
        <v>168</v>
      </c>
    </row>
    <row r="13" spans="1:24" ht="15.75">
      <c r="A13" s="71">
        <v>8</v>
      </c>
      <c r="B13" s="72" t="s">
        <v>43</v>
      </c>
      <c r="C13" s="57">
        <v>260</v>
      </c>
      <c r="D13" s="58">
        <v>262</v>
      </c>
      <c r="E13" s="59">
        <v>300</v>
      </c>
      <c r="F13" s="60">
        <v>352</v>
      </c>
      <c r="G13" s="57">
        <v>350</v>
      </c>
      <c r="H13" s="61">
        <v>933</v>
      </c>
      <c r="I13" s="62">
        <v>391</v>
      </c>
      <c r="J13" s="63">
        <v>1810</v>
      </c>
      <c r="K13" s="57">
        <v>344</v>
      </c>
      <c r="L13" s="61">
        <v>861</v>
      </c>
      <c r="M13" s="64">
        <v>358</v>
      </c>
      <c r="N13" s="65">
        <v>1043</v>
      </c>
      <c r="O13" s="64">
        <v>376</v>
      </c>
      <c r="P13" s="65">
        <v>1186</v>
      </c>
      <c r="Q13" s="66">
        <v>383</v>
      </c>
      <c r="R13" s="67">
        <v>1359</v>
      </c>
      <c r="S13" s="64">
        <v>406</v>
      </c>
      <c r="T13" s="67">
        <v>1670</v>
      </c>
      <c r="U13" s="68">
        <v>403</v>
      </c>
      <c r="V13" s="67">
        <v>1078</v>
      </c>
      <c r="W13" s="64">
        <v>396</v>
      </c>
      <c r="X13" s="67">
        <v>635</v>
      </c>
    </row>
    <row r="14" spans="1:24" ht="15.75">
      <c r="A14" s="55">
        <v>9</v>
      </c>
      <c r="B14" s="56" t="s">
        <v>44</v>
      </c>
      <c r="C14" s="57">
        <v>6</v>
      </c>
      <c r="D14" s="58">
        <v>4</v>
      </c>
      <c r="E14" s="59">
        <v>6</v>
      </c>
      <c r="F14" s="60">
        <v>2</v>
      </c>
      <c r="G14" s="57">
        <v>6</v>
      </c>
      <c r="H14" s="61">
        <v>1</v>
      </c>
      <c r="I14" s="62">
        <v>6</v>
      </c>
      <c r="J14" s="63">
        <v>1</v>
      </c>
      <c r="K14" s="57">
        <v>5</v>
      </c>
      <c r="L14" s="61">
        <v>0</v>
      </c>
      <c r="M14" s="64">
        <v>4</v>
      </c>
      <c r="N14" s="65">
        <v>0</v>
      </c>
      <c r="O14" s="64">
        <v>4</v>
      </c>
      <c r="P14" s="65">
        <v>0</v>
      </c>
      <c r="Q14" s="66">
        <v>1</v>
      </c>
      <c r="R14" s="67">
        <v>0</v>
      </c>
      <c r="S14" s="64">
        <v>0</v>
      </c>
      <c r="T14" s="67">
        <v>0</v>
      </c>
      <c r="U14" s="68">
        <v>0</v>
      </c>
      <c r="V14" s="67">
        <v>0</v>
      </c>
      <c r="W14" s="64">
        <v>0</v>
      </c>
      <c r="X14" s="67">
        <v>0</v>
      </c>
    </row>
    <row r="15" spans="1:24" ht="15.75">
      <c r="A15" s="55">
        <v>10</v>
      </c>
      <c r="B15" s="56" t="s">
        <v>45</v>
      </c>
      <c r="C15" s="57">
        <v>170</v>
      </c>
      <c r="D15" s="58">
        <v>130</v>
      </c>
      <c r="E15" s="59">
        <v>167</v>
      </c>
      <c r="F15" s="60">
        <v>62</v>
      </c>
      <c r="G15" s="57">
        <v>149</v>
      </c>
      <c r="H15" s="61">
        <v>82</v>
      </c>
      <c r="I15" s="62">
        <v>147</v>
      </c>
      <c r="J15" s="63">
        <v>380</v>
      </c>
      <c r="K15" s="57">
        <v>142</v>
      </c>
      <c r="L15" s="61">
        <v>472</v>
      </c>
      <c r="M15" s="64">
        <v>137</v>
      </c>
      <c r="N15" s="65">
        <v>825</v>
      </c>
      <c r="O15" s="64">
        <v>140</v>
      </c>
      <c r="P15" s="65">
        <v>625</v>
      </c>
      <c r="Q15" s="66">
        <v>167</v>
      </c>
      <c r="R15" s="67">
        <v>863</v>
      </c>
      <c r="S15" s="64">
        <v>208</v>
      </c>
      <c r="T15" s="67">
        <v>766</v>
      </c>
      <c r="U15" s="68">
        <v>216</v>
      </c>
      <c r="V15" s="67">
        <v>840</v>
      </c>
      <c r="W15" s="64">
        <v>249</v>
      </c>
      <c r="X15" s="67">
        <v>702</v>
      </c>
    </row>
    <row r="16" spans="1:24" ht="15.75">
      <c r="A16" s="55">
        <v>11</v>
      </c>
      <c r="B16" s="56" t="s">
        <v>46</v>
      </c>
      <c r="C16" s="57">
        <v>8</v>
      </c>
      <c r="D16" s="58">
        <v>10</v>
      </c>
      <c r="E16" s="59">
        <v>8</v>
      </c>
      <c r="F16" s="60">
        <v>4</v>
      </c>
      <c r="G16" s="57">
        <v>8</v>
      </c>
      <c r="H16" s="61"/>
      <c r="I16" s="62">
        <v>8</v>
      </c>
      <c r="J16" s="63">
        <v>2</v>
      </c>
      <c r="K16" s="57">
        <v>8</v>
      </c>
      <c r="L16" s="61">
        <v>7</v>
      </c>
      <c r="M16" s="73">
        <v>8</v>
      </c>
      <c r="N16" s="74">
        <v>2</v>
      </c>
      <c r="O16" s="73">
        <v>7</v>
      </c>
      <c r="P16" s="74">
        <v>1</v>
      </c>
      <c r="Q16" s="75">
        <v>6</v>
      </c>
      <c r="R16" s="74">
        <v>1</v>
      </c>
      <c r="S16" s="73">
        <v>5</v>
      </c>
      <c r="T16" s="74">
        <v>0</v>
      </c>
      <c r="U16" s="73">
        <v>5</v>
      </c>
      <c r="V16" s="74">
        <v>0</v>
      </c>
      <c r="W16" s="73">
        <v>3</v>
      </c>
      <c r="X16" s="74">
        <v>0</v>
      </c>
    </row>
    <row r="17" spans="1:24" ht="15.75">
      <c r="A17" s="76">
        <v>12</v>
      </c>
      <c r="B17" s="77" t="s">
        <v>47</v>
      </c>
      <c r="C17" s="73"/>
      <c r="D17" s="58">
        <v>40</v>
      </c>
      <c r="E17" s="75"/>
      <c r="F17" s="60">
        <v>20</v>
      </c>
      <c r="G17" s="57"/>
      <c r="H17" s="61">
        <v>11</v>
      </c>
      <c r="I17" s="62"/>
      <c r="J17" s="63">
        <v>2</v>
      </c>
      <c r="K17" s="73"/>
      <c r="L17" s="61">
        <v>22</v>
      </c>
      <c r="M17" s="73"/>
      <c r="N17" s="74">
        <v>22</v>
      </c>
      <c r="O17" s="73"/>
      <c r="P17" s="74">
        <v>0</v>
      </c>
      <c r="Q17" s="75"/>
      <c r="R17" s="74">
        <v>7</v>
      </c>
      <c r="S17" s="73"/>
      <c r="T17" s="74">
        <v>13</v>
      </c>
      <c r="U17" s="73"/>
      <c r="V17" s="74">
        <v>17</v>
      </c>
      <c r="W17" s="73"/>
      <c r="X17" s="74">
        <v>0</v>
      </c>
    </row>
    <row r="18" spans="1:24" ht="15.75">
      <c r="A18" s="76"/>
      <c r="B18" s="78" t="s">
        <v>48</v>
      </c>
      <c r="C18" s="73"/>
      <c r="D18" s="74"/>
      <c r="E18" s="75"/>
      <c r="F18" s="79"/>
      <c r="G18" s="57"/>
      <c r="H18" s="80"/>
      <c r="I18" s="62"/>
      <c r="J18" s="81"/>
      <c r="K18" s="73"/>
      <c r="L18" s="80"/>
      <c r="M18" s="73"/>
      <c r="N18" s="74"/>
      <c r="O18" s="73"/>
      <c r="P18" s="74"/>
      <c r="Q18" s="75"/>
      <c r="R18" s="74"/>
      <c r="S18" s="73"/>
      <c r="T18" s="74"/>
      <c r="U18" s="73"/>
      <c r="V18" s="74"/>
      <c r="W18" s="73"/>
      <c r="X18" s="74"/>
    </row>
    <row r="19" spans="1:24" ht="16.5" thickBot="1">
      <c r="A19" s="82"/>
      <c r="B19" s="83"/>
      <c r="C19" s="84"/>
      <c r="D19" s="85"/>
      <c r="E19" s="86"/>
      <c r="F19" s="87"/>
      <c r="G19" s="84"/>
      <c r="H19" s="85"/>
      <c r="I19" s="86"/>
      <c r="J19" s="87"/>
      <c r="K19" s="84"/>
      <c r="L19" s="85"/>
      <c r="M19" s="84"/>
      <c r="N19" s="85"/>
      <c r="O19" s="84"/>
      <c r="P19" s="85"/>
      <c r="Q19" s="84"/>
      <c r="R19" s="85"/>
      <c r="S19" s="84"/>
      <c r="T19" s="85"/>
      <c r="U19" s="84"/>
      <c r="V19" s="85"/>
      <c r="W19" s="88"/>
      <c r="X19" s="85"/>
    </row>
    <row r="20" spans="1:24" ht="16.5" thickBot="1">
      <c r="A20" s="38"/>
      <c r="B20" s="89" t="s">
        <v>6</v>
      </c>
      <c r="C20" s="90">
        <f t="shared" ref="C20:X20" si="0">SUM(C7:C19)</f>
        <v>3387</v>
      </c>
      <c r="D20" s="91">
        <f t="shared" si="0"/>
        <v>25962</v>
      </c>
      <c r="E20" s="89">
        <f t="shared" si="0"/>
        <v>3545</v>
      </c>
      <c r="F20" s="89">
        <f t="shared" si="0"/>
        <v>9663</v>
      </c>
      <c r="G20" s="90">
        <f t="shared" si="0"/>
        <v>3539</v>
      </c>
      <c r="H20" s="91">
        <f t="shared" si="0"/>
        <v>22323</v>
      </c>
      <c r="I20" s="89">
        <f t="shared" si="0"/>
        <v>3555</v>
      </c>
      <c r="J20" s="89">
        <f t="shared" si="0"/>
        <v>35491</v>
      </c>
      <c r="K20" s="90">
        <f t="shared" si="0"/>
        <v>3409</v>
      </c>
      <c r="L20" s="91">
        <f t="shared" si="0"/>
        <v>18147</v>
      </c>
      <c r="M20" s="90">
        <f t="shared" si="0"/>
        <v>3318</v>
      </c>
      <c r="N20" s="91">
        <f t="shared" si="0"/>
        <v>35746</v>
      </c>
      <c r="O20" s="90">
        <f t="shared" si="0"/>
        <v>3291</v>
      </c>
      <c r="P20" s="91">
        <f t="shared" si="0"/>
        <v>18269</v>
      </c>
      <c r="Q20" s="90">
        <f t="shared" si="0"/>
        <v>3346</v>
      </c>
      <c r="R20" s="91">
        <f t="shared" si="0"/>
        <v>17198</v>
      </c>
      <c r="S20" s="90">
        <f t="shared" si="0"/>
        <v>3448</v>
      </c>
      <c r="T20" s="91">
        <f t="shared" si="0"/>
        <v>8498</v>
      </c>
      <c r="U20" s="90">
        <f t="shared" si="0"/>
        <v>3425</v>
      </c>
      <c r="V20" s="91">
        <f t="shared" si="0"/>
        <v>14102</v>
      </c>
      <c r="W20" s="90">
        <f t="shared" si="0"/>
        <v>3467</v>
      </c>
      <c r="X20" s="91">
        <f t="shared" si="0"/>
        <v>7353</v>
      </c>
    </row>
    <row r="21" spans="1:24" ht="15.75">
      <c r="A21" s="92">
        <v>13</v>
      </c>
      <c r="B21" s="93" t="s">
        <v>49</v>
      </c>
      <c r="C21" s="57">
        <v>377</v>
      </c>
      <c r="D21" s="58">
        <v>58</v>
      </c>
      <c r="E21" s="59">
        <v>373</v>
      </c>
      <c r="F21" s="60">
        <v>34</v>
      </c>
      <c r="G21" s="57">
        <v>345</v>
      </c>
      <c r="H21" s="61">
        <v>18</v>
      </c>
      <c r="I21" s="62">
        <v>340</v>
      </c>
      <c r="J21" s="63">
        <v>27</v>
      </c>
      <c r="K21" s="57">
        <v>187</v>
      </c>
      <c r="L21" s="61">
        <v>8</v>
      </c>
      <c r="M21" s="64">
        <v>139</v>
      </c>
      <c r="N21" s="67">
        <v>4</v>
      </c>
      <c r="O21" s="64">
        <v>89</v>
      </c>
      <c r="P21" s="67">
        <v>10</v>
      </c>
      <c r="Q21" s="66">
        <v>83</v>
      </c>
      <c r="R21" s="67">
        <v>2</v>
      </c>
      <c r="S21" s="64">
        <v>78</v>
      </c>
      <c r="T21" s="67">
        <v>1</v>
      </c>
      <c r="U21" s="64">
        <v>70</v>
      </c>
      <c r="V21" s="67">
        <v>0</v>
      </c>
      <c r="W21" s="94">
        <v>61</v>
      </c>
      <c r="X21" s="67">
        <v>12</v>
      </c>
    </row>
    <row r="22" spans="1:24" ht="15.75">
      <c r="A22" s="95">
        <v>14</v>
      </c>
      <c r="B22" s="96" t="s">
        <v>50</v>
      </c>
      <c r="C22" s="57">
        <v>94</v>
      </c>
      <c r="D22" s="58">
        <v>92</v>
      </c>
      <c r="E22" s="59">
        <v>99</v>
      </c>
      <c r="F22" s="60">
        <v>44</v>
      </c>
      <c r="G22" s="57">
        <v>87</v>
      </c>
      <c r="H22" s="61">
        <v>28</v>
      </c>
      <c r="I22" s="62">
        <v>87</v>
      </c>
      <c r="J22" s="63">
        <v>22</v>
      </c>
      <c r="K22" s="57">
        <v>88</v>
      </c>
      <c r="L22" s="61">
        <v>62</v>
      </c>
      <c r="M22" s="64">
        <v>91</v>
      </c>
      <c r="N22" s="67">
        <v>41</v>
      </c>
      <c r="O22" s="64">
        <v>95</v>
      </c>
      <c r="P22" s="67">
        <v>43</v>
      </c>
      <c r="Q22" s="66">
        <v>95</v>
      </c>
      <c r="R22" s="67">
        <v>64</v>
      </c>
      <c r="S22" s="64">
        <v>85</v>
      </c>
      <c r="T22" s="67">
        <v>31</v>
      </c>
      <c r="U22" s="64">
        <v>94</v>
      </c>
      <c r="V22" s="67">
        <v>35</v>
      </c>
      <c r="W22" s="66">
        <v>93</v>
      </c>
      <c r="X22" s="67">
        <v>28</v>
      </c>
    </row>
    <row r="23" spans="1:24" ht="15.75">
      <c r="A23" s="95">
        <v>15</v>
      </c>
      <c r="B23" s="96" t="s">
        <v>51</v>
      </c>
      <c r="C23" s="57">
        <v>38</v>
      </c>
      <c r="D23" s="58">
        <v>5</v>
      </c>
      <c r="E23" s="59">
        <v>88</v>
      </c>
      <c r="F23" s="60">
        <v>4</v>
      </c>
      <c r="G23" s="57">
        <v>82</v>
      </c>
      <c r="H23" s="61">
        <v>2</v>
      </c>
      <c r="I23" s="62">
        <v>82</v>
      </c>
      <c r="J23" s="63">
        <v>1</v>
      </c>
      <c r="K23" s="57">
        <v>83</v>
      </c>
      <c r="L23" s="61">
        <v>0</v>
      </c>
      <c r="M23" s="64">
        <v>92</v>
      </c>
      <c r="N23" s="67">
        <v>1</v>
      </c>
      <c r="O23" s="64">
        <v>88</v>
      </c>
      <c r="P23" s="67">
        <v>1</v>
      </c>
      <c r="Q23" s="66">
        <v>95</v>
      </c>
      <c r="R23" s="67">
        <v>1</v>
      </c>
      <c r="S23" s="64">
        <v>103</v>
      </c>
      <c r="T23" s="67">
        <v>1</v>
      </c>
      <c r="U23" s="64">
        <v>79</v>
      </c>
      <c r="V23" s="67"/>
      <c r="W23" s="66">
        <v>64</v>
      </c>
      <c r="X23" s="67">
        <v>0</v>
      </c>
    </row>
    <row r="24" spans="1:24" ht="15.75">
      <c r="A24" s="95">
        <v>16</v>
      </c>
      <c r="B24" s="96" t="s">
        <v>52</v>
      </c>
      <c r="C24" s="57"/>
      <c r="D24" s="58"/>
      <c r="E24" s="59"/>
      <c r="F24" s="60"/>
      <c r="G24" s="57"/>
      <c r="H24" s="61"/>
      <c r="I24" s="62"/>
      <c r="J24" s="63"/>
      <c r="K24" s="57"/>
      <c r="L24" s="61"/>
      <c r="M24" s="73">
        <v>0</v>
      </c>
      <c r="N24" s="74"/>
      <c r="O24" s="73">
        <v>0</v>
      </c>
      <c r="P24" s="74">
        <v>0</v>
      </c>
      <c r="Q24" s="75"/>
      <c r="R24" s="74"/>
      <c r="S24" s="73">
        <v>0</v>
      </c>
      <c r="T24" s="74">
        <v>0</v>
      </c>
      <c r="U24" s="73"/>
      <c r="V24" s="74"/>
      <c r="W24" s="75">
        <v>0</v>
      </c>
      <c r="X24" s="74">
        <v>0</v>
      </c>
    </row>
    <row r="25" spans="1:24" ht="15.75">
      <c r="A25" s="97">
        <v>17</v>
      </c>
      <c r="B25" s="98" t="s">
        <v>53</v>
      </c>
      <c r="C25" s="99"/>
      <c r="D25" s="58"/>
      <c r="E25" s="100"/>
      <c r="F25" s="60"/>
      <c r="G25" s="101"/>
      <c r="H25" s="61"/>
      <c r="I25" s="100"/>
      <c r="J25" s="63"/>
      <c r="K25" s="101"/>
      <c r="L25" s="61"/>
      <c r="M25" s="99"/>
      <c r="N25" s="102"/>
      <c r="O25" s="99"/>
      <c r="P25" s="102"/>
      <c r="Q25" s="103"/>
      <c r="R25" s="102"/>
      <c r="S25" s="99"/>
      <c r="T25" s="102"/>
      <c r="U25" s="99"/>
      <c r="V25" s="102"/>
      <c r="W25" s="75"/>
      <c r="X25" s="74"/>
    </row>
    <row r="26" spans="1:24" ht="16.5" thickBot="1">
      <c r="A26" s="104"/>
      <c r="B26" s="105"/>
      <c r="C26" s="88"/>
      <c r="D26" s="106"/>
      <c r="E26" s="107"/>
      <c r="F26" s="108"/>
      <c r="G26" s="88"/>
      <c r="H26" s="106"/>
      <c r="I26" s="107"/>
      <c r="J26" s="108"/>
      <c r="K26" s="88"/>
      <c r="L26" s="106"/>
      <c r="M26" s="88"/>
      <c r="N26" s="106"/>
      <c r="O26" s="88"/>
      <c r="P26" s="106"/>
      <c r="Q26" s="88"/>
      <c r="R26" s="106"/>
      <c r="S26" s="88"/>
      <c r="T26" s="106"/>
      <c r="U26" s="88"/>
      <c r="V26" s="106"/>
      <c r="W26" s="107"/>
      <c r="X26" s="102"/>
    </row>
    <row r="27" spans="1:24" ht="16.5" thickBot="1">
      <c r="A27" s="38"/>
      <c r="B27" s="91" t="s">
        <v>54</v>
      </c>
      <c r="C27" s="90">
        <f t="shared" ref="C27:X27" si="1">SUM(C21:C26)</f>
        <v>509</v>
      </c>
      <c r="D27" s="91">
        <f t="shared" si="1"/>
        <v>155</v>
      </c>
      <c r="E27" s="89">
        <f t="shared" si="1"/>
        <v>560</v>
      </c>
      <c r="F27" s="89">
        <f t="shared" si="1"/>
        <v>82</v>
      </c>
      <c r="G27" s="90">
        <f t="shared" si="1"/>
        <v>514</v>
      </c>
      <c r="H27" s="91">
        <f t="shared" si="1"/>
        <v>48</v>
      </c>
      <c r="I27" s="89">
        <f t="shared" si="1"/>
        <v>509</v>
      </c>
      <c r="J27" s="89">
        <f t="shared" si="1"/>
        <v>50</v>
      </c>
      <c r="K27" s="90">
        <f t="shared" si="1"/>
        <v>358</v>
      </c>
      <c r="L27" s="91">
        <f t="shared" si="1"/>
        <v>70</v>
      </c>
      <c r="M27" s="90">
        <f t="shared" si="1"/>
        <v>322</v>
      </c>
      <c r="N27" s="91">
        <f t="shared" si="1"/>
        <v>46</v>
      </c>
      <c r="O27" s="90">
        <f t="shared" si="1"/>
        <v>272</v>
      </c>
      <c r="P27" s="91">
        <f t="shared" si="1"/>
        <v>54</v>
      </c>
      <c r="Q27" s="89">
        <f t="shared" si="1"/>
        <v>273</v>
      </c>
      <c r="R27" s="91">
        <f t="shared" si="1"/>
        <v>67</v>
      </c>
      <c r="S27" s="90">
        <f t="shared" si="1"/>
        <v>266</v>
      </c>
      <c r="T27" s="91">
        <f t="shared" si="1"/>
        <v>33</v>
      </c>
      <c r="U27" s="90">
        <f t="shared" si="1"/>
        <v>243</v>
      </c>
      <c r="V27" s="91">
        <f t="shared" si="1"/>
        <v>35</v>
      </c>
      <c r="W27" s="89">
        <f t="shared" si="1"/>
        <v>218</v>
      </c>
      <c r="X27" s="91">
        <f t="shared" si="1"/>
        <v>40</v>
      </c>
    </row>
    <row r="28" spans="1:24" ht="15.75">
      <c r="A28" s="92">
        <v>18</v>
      </c>
      <c r="B28" s="93" t="s">
        <v>55</v>
      </c>
      <c r="C28" s="57">
        <v>128</v>
      </c>
      <c r="D28" s="58">
        <v>19</v>
      </c>
      <c r="E28" s="109">
        <v>140</v>
      </c>
      <c r="F28" s="60">
        <v>12</v>
      </c>
      <c r="G28" s="57">
        <v>129</v>
      </c>
      <c r="H28" s="61">
        <v>11</v>
      </c>
      <c r="I28" s="62">
        <v>140</v>
      </c>
      <c r="J28" s="63">
        <v>12</v>
      </c>
      <c r="K28" s="57">
        <v>154</v>
      </c>
      <c r="L28" s="61">
        <v>11</v>
      </c>
      <c r="M28" s="64">
        <v>160</v>
      </c>
      <c r="N28" s="67">
        <v>15</v>
      </c>
      <c r="O28" s="64">
        <v>164</v>
      </c>
      <c r="P28" s="67">
        <v>33</v>
      </c>
      <c r="Q28" s="66">
        <v>171</v>
      </c>
      <c r="R28" s="67">
        <v>41</v>
      </c>
      <c r="S28" s="64">
        <v>177</v>
      </c>
      <c r="T28" s="67">
        <v>35</v>
      </c>
      <c r="U28" s="64">
        <v>183</v>
      </c>
      <c r="V28" s="67">
        <v>53</v>
      </c>
      <c r="W28" s="110">
        <v>187</v>
      </c>
      <c r="X28" s="67">
        <v>31</v>
      </c>
    </row>
    <row r="29" spans="1:24" ht="15.75">
      <c r="A29" s="95">
        <v>19</v>
      </c>
      <c r="B29" s="96" t="s">
        <v>56</v>
      </c>
      <c r="C29" s="57">
        <v>2</v>
      </c>
      <c r="D29" s="58">
        <v>0</v>
      </c>
      <c r="E29" s="109">
        <v>4</v>
      </c>
      <c r="F29" s="60">
        <v>0</v>
      </c>
      <c r="G29" s="57">
        <v>4</v>
      </c>
      <c r="H29" s="61">
        <v>0</v>
      </c>
      <c r="I29" s="62">
        <v>4</v>
      </c>
      <c r="J29" s="63">
        <v>0</v>
      </c>
      <c r="K29" s="57">
        <v>4</v>
      </c>
      <c r="L29" s="61">
        <v>0</v>
      </c>
      <c r="M29" s="64">
        <v>4</v>
      </c>
      <c r="N29" s="67">
        <v>0</v>
      </c>
      <c r="O29" s="64">
        <v>5</v>
      </c>
      <c r="P29" s="67">
        <v>0</v>
      </c>
      <c r="Q29" s="66">
        <v>5</v>
      </c>
      <c r="R29" s="67">
        <v>0</v>
      </c>
      <c r="S29" s="64">
        <v>5</v>
      </c>
      <c r="T29" s="67">
        <v>0</v>
      </c>
      <c r="U29" s="64">
        <v>4</v>
      </c>
      <c r="V29" s="67">
        <v>1</v>
      </c>
      <c r="W29" s="64">
        <v>3</v>
      </c>
      <c r="X29" s="67">
        <v>4</v>
      </c>
    </row>
    <row r="30" spans="1:24" ht="15.75">
      <c r="A30" s="95">
        <v>20</v>
      </c>
      <c r="B30" s="96" t="s">
        <v>57</v>
      </c>
      <c r="C30" s="57">
        <v>17</v>
      </c>
      <c r="D30" s="58">
        <v>5</v>
      </c>
      <c r="E30" s="109">
        <v>18</v>
      </c>
      <c r="F30" s="60">
        <v>5</v>
      </c>
      <c r="G30" s="57">
        <v>13</v>
      </c>
      <c r="H30" s="61">
        <v>6</v>
      </c>
      <c r="I30" s="62">
        <v>15</v>
      </c>
      <c r="J30" s="63">
        <v>3</v>
      </c>
      <c r="K30" s="57">
        <v>11</v>
      </c>
      <c r="L30" s="61">
        <v>2</v>
      </c>
      <c r="M30" s="64">
        <v>10</v>
      </c>
      <c r="N30" s="67">
        <v>3</v>
      </c>
      <c r="O30" s="64">
        <v>11</v>
      </c>
      <c r="P30" s="67">
        <v>4</v>
      </c>
      <c r="Q30" s="66">
        <v>11</v>
      </c>
      <c r="R30" s="67">
        <v>3</v>
      </c>
      <c r="S30" s="64">
        <v>11</v>
      </c>
      <c r="T30" s="67">
        <v>4</v>
      </c>
      <c r="U30" s="64">
        <v>11</v>
      </c>
      <c r="V30" s="67">
        <v>6</v>
      </c>
      <c r="W30" s="64">
        <v>10</v>
      </c>
      <c r="X30" s="67">
        <v>0</v>
      </c>
    </row>
    <row r="31" spans="1:24" ht="15.75">
      <c r="A31" s="95">
        <v>21</v>
      </c>
      <c r="B31" s="96" t="s">
        <v>58</v>
      </c>
      <c r="C31" s="111">
        <v>0</v>
      </c>
      <c r="D31" s="112"/>
      <c r="E31" s="113">
        <v>0</v>
      </c>
      <c r="F31" s="114">
        <v>0</v>
      </c>
      <c r="G31" s="111">
        <v>0</v>
      </c>
      <c r="H31" s="112">
        <v>0</v>
      </c>
      <c r="I31" s="62">
        <v>0</v>
      </c>
      <c r="J31" s="63"/>
      <c r="K31" s="57">
        <v>0</v>
      </c>
      <c r="L31" s="61">
        <v>0</v>
      </c>
      <c r="M31" s="64">
        <v>0</v>
      </c>
      <c r="N31" s="67">
        <v>0</v>
      </c>
      <c r="O31" s="64">
        <v>0</v>
      </c>
      <c r="P31" s="67">
        <v>0</v>
      </c>
      <c r="Q31" s="66">
        <v>0</v>
      </c>
      <c r="R31" s="67">
        <v>0</v>
      </c>
      <c r="S31" s="64">
        <v>0</v>
      </c>
      <c r="T31" s="67">
        <v>0</v>
      </c>
      <c r="U31" s="64">
        <v>0</v>
      </c>
      <c r="V31" s="67">
        <v>0</v>
      </c>
      <c r="W31" s="64">
        <v>0</v>
      </c>
      <c r="X31" s="67">
        <v>0</v>
      </c>
    </row>
    <row r="32" spans="1:24" ht="15.75">
      <c r="A32" s="95">
        <v>22</v>
      </c>
      <c r="B32" s="96" t="s">
        <v>59</v>
      </c>
      <c r="C32" s="111">
        <v>1</v>
      </c>
      <c r="D32" s="112"/>
      <c r="E32" s="59">
        <v>1</v>
      </c>
      <c r="F32" s="114"/>
      <c r="G32" s="57">
        <v>1</v>
      </c>
      <c r="H32" s="112"/>
      <c r="I32" s="62">
        <v>1</v>
      </c>
      <c r="J32" s="63"/>
      <c r="K32" s="57">
        <v>1</v>
      </c>
      <c r="L32" s="61"/>
      <c r="M32" s="64">
        <v>1</v>
      </c>
      <c r="N32" s="67">
        <v>0</v>
      </c>
      <c r="O32" s="64">
        <v>1</v>
      </c>
      <c r="P32" s="67">
        <v>0</v>
      </c>
      <c r="Q32" s="66">
        <v>1</v>
      </c>
      <c r="R32" s="67">
        <v>0</v>
      </c>
      <c r="S32" s="64">
        <v>1</v>
      </c>
      <c r="T32" s="67">
        <v>0</v>
      </c>
      <c r="U32" s="64">
        <v>1</v>
      </c>
      <c r="V32" s="67">
        <v>0</v>
      </c>
      <c r="W32" s="64">
        <v>0</v>
      </c>
      <c r="X32" s="67">
        <v>0</v>
      </c>
    </row>
    <row r="33" spans="1:24" ht="15.75">
      <c r="A33" s="95">
        <v>23</v>
      </c>
      <c r="B33" s="96" t="s">
        <v>60</v>
      </c>
      <c r="C33" s="111">
        <v>2</v>
      </c>
      <c r="D33" s="112">
        <v>2</v>
      </c>
      <c r="E33" s="113">
        <v>2</v>
      </c>
      <c r="F33" s="114">
        <v>1</v>
      </c>
      <c r="G33" s="111">
        <v>1</v>
      </c>
      <c r="H33" s="112">
        <v>1</v>
      </c>
      <c r="I33" s="62">
        <v>2</v>
      </c>
      <c r="J33" s="63"/>
      <c r="K33" s="57">
        <v>2</v>
      </c>
      <c r="L33" s="61">
        <v>1</v>
      </c>
      <c r="M33" s="64">
        <v>2</v>
      </c>
      <c r="N33" s="67">
        <v>1</v>
      </c>
      <c r="O33" s="64">
        <v>2</v>
      </c>
      <c r="P33" s="67">
        <v>0</v>
      </c>
      <c r="Q33" s="66">
        <v>2</v>
      </c>
      <c r="R33" s="67">
        <v>0</v>
      </c>
      <c r="S33" s="64">
        <v>2</v>
      </c>
      <c r="T33" s="67">
        <v>0</v>
      </c>
      <c r="U33" s="64">
        <v>2</v>
      </c>
      <c r="V33" s="67">
        <v>0</v>
      </c>
      <c r="W33" s="64">
        <v>2</v>
      </c>
      <c r="X33" s="67">
        <v>0</v>
      </c>
    </row>
    <row r="34" spans="1:24" ht="15.75">
      <c r="A34" s="95">
        <v>24</v>
      </c>
      <c r="B34" s="96" t="s">
        <v>48</v>
      </c>
      <c r="C34" s="57">
        <v>6</v>
      </c>
      <c r="D34" s="112">
        <v>2</v>
      </c>
      <c r="E34" s="59">
        <v>6</v>
      </c>
      <c r="F34" s="60">
        <v>2</v>
      </c>
      <c r="G34" s="57">
        <v>6</v>
      </c>
      <c r="H34" s="61">
        <v>0</v>
      </c>
      <c r="I34" s="62">
        <v>6</v>
      </c>
      <c r="J34" s="63"/>
      <c r="K34" s="57">
        <v>6</v>
      </c>
      <c r="L34" s="61"/>
      <c r="M34" s="64">
        <v>1</v>
      </c>
      <c r="N34" s="67">
        <v>0</v>
      </c>
      <c r="O34" s="64">
        <v>0</v>
      </c>
      <c r="P34" s="67">
        <v>0</v>
      </c>
      <c r="Q34" s="66">
        <v>0</v>
      </c>
      <c r="R34" s="67">
        <v>0</v>
      </c>
      <c r="S34" s="64">
        <v>0</v>
      </c>
      <c r="T34" s="67">
        <v>0</v>
      </c>
      <c r="U34" s="64">
        <v>0</v>
      </c>
      <c r="V34" s="67">
        <v>0</v>
      </c>
      <c r="W34" s="64">
        <v>0</v>
      </c>
      <c r="X34" s="67">
        <v>0</v>
      </c>
    </row>
    <row r="35" spans="1:24" ht="15.75">
      <c r="A35" s="95">
        <v>25</v>
      </c>
      <c r="B35" s="96" t="s">
        <v>61</v>
      </c>
      <c r="C35" s="57"/>
      <c r="D35" s="112"/>
      <c r="E35" s="59"/>
      <c r="F35" s="60"/>
      <c r="G35" s="57"/>
      <c r="H35" s="61"/>
      <c r="I35" s="62"/>
      <c r="J35" s="63"/>
      <c r="K35" s="57"/>
      <c r="L35" s="61"/>
      <c r="M35" s="64"/>
      <c r="N35" s="67">
        <v>0</v>
      </c>
      <c r="O35" s="64">
        <v>0</v>
      </c>
      <c r="P35" s="67">
        <v>0</v>
      </c>
      <c r="Q35" s="66">
        <v>0</v>
      </c>
      <c r="R35" s="67">
        <v>0</v>
      </c>
      <c r="S35" s="64">
        <v>0</v>
      </c>
      <c r="T35" s="67">
        <v>0</v>
      </c>
      <c r="U35" s="64">
        <v>0</v>
      </c>
      <c r="V35" s="67">
        <v>0</v>
      </c>
      <c r="W35" s="64">
        <v>0</v>
      </c>
      <c r="X35" s="67">
        <v>0</v>
      </c>
    </row>
    <row r="36" spans="1:24" ht="15.75">
      <c r="A36" s="95">
        <v>26</v>
      </c>
      <c r="B36" s="96" t="s">
        <v>62</v>
      </c>
      <c r="C36" s="111"/>
      <c r="D36" s="112"/>
      <c r="E36" s="113"/>
      <c r="F36" s="114"/>
      <c r="G36" s="111"/>
      <c r="H36" s="61"/>
      <c r="I36" s="62"/>
      <c r="J36" s="63"/>
      <c r="K36" s="57"/>
      <c r="L36" s="61"/>
      <c r="M36" s="64"/>
      <c r="N36" s="67"/>
      <c r="O36" s="64"/>
      <c r="P36" s="67"/>
      <c r="Q36" s="66"/>
      <c r="R36" s="67"/>
      <c r="S36" s="64"/>
      <c r="T36" s="67"/>
      <c r="U36" s="64"/>
      <c r="V36" s="67"/>
      <c r="W36" s="64">
        <v>0</v>
      </c>
      <c r="X36" s="67">
        <v>0</v>
      </c>
    </row>
    <row r="37" spans="1:24" ht="15.75">
      <c r="A37" s="95">
        <v>27</v>
      </c>
      <c r="B37" s="96" t="s">
        <v>63</v>
      </c>
      <c r="C37" s="111"/>
      <c r="D37" s="58"/>
      <c r="E37" s="109"/>
      <c r="F37" s="60"/>
      <c r="G37" s="111"/>
      <c r="H37" s="112"/>
      <c r="I37" s="62"/>
      <c r="J37" s="63"/>
      <c r="K37" s="57"/>
      <c r="L37" s="61"/>
      <c r="M37" s="64"/>
      <c r="N37" s="67"/>
      <c r="O37" s="64"/>
      <c r="P37" s="67"/>
      <c r="Q37" s="66"/>
      <c r="R37" s="67"/>
      <c r="S37" s="64"/>
      <c r="T37" s="67"/>
      <c r="U37" s="64"/>
      <c r="V37" s="67"/>
      <c r="W37" s="64"/>
      <c r="X37" s="67"/>
    </row>
    <row r="38" spans="1:24" ht="15.75">
      <c r="A38" s="95">
        <v>28</v>
      </c>
      <c r="B38" s="96" t="s">
        <v>64</v>
      </c>
      <c r="C38" s="111"/>
      <c r="D38" s="112"/>
      <c r="E38" s="113"/>
      <c r="F38" s="114"/>
      <c r="G38" s="111"/>
      <c r="H38" s="61"/>
      <c r="I38" s="62"/>
      <c r="J38" s="114"/>
      <c r="K38" s="57"/>
      <c r="L38" s="61"/>
      <c r="M38" s="64"/>
      <c r="N38" s="67"/>
      <c r="O38" s="64"/>
      <c r="P38" s="67"/>
      <c r="Q38" s="66"/>
      <c r="R38" s="67"/>
      <c r="S38" s="64"/>
      <c r="T38" s="67"/>
      <c r="U38" s="64"/>
      <c r="V38" s="67"/>
      <c r="W38" s="64"/>
      <c r="X38" s="67"/>
    </row>
    <row r="39" spans="1:24" ht="15.75">
      <c r="A39" s="95">
        <v>29</v>
      </c>
      <c r="B39" s="96" t="s">
        <v>65</v>
      </c>
      <c r="C39" s="111"/>
      <c r="D39" s="112"/>
      <c r="E39" s="113"/>
      <c r="F39" s="114"/>
      <c r="G39" s="111"/>
      <c r="H39" s="112"/>
      <c r="I39" s="62"/>
      <c r="J39" s="114"/>
      <c r="K39" s="57"/>
      <c r="L39" s="61"/>
      <c r="M39" s="64"/>
      <c r="N39" s="67"/>
      <c r="O39" s="64"/>
      <c r="P39" s="67"/>
      <c r="Q39" s="66"/>
      <c r="R39" s="67"/>
      <c r="S39" s="64"/>
      <c r="T39" s="67"/>
      <c r="U39" s="64"/>
      <c r="V39" s="67"/>
      <c r="W39" s="64"/>
      <c r="X39" s="67"/>
    </row>
    <row r="40" spans="1:24" ht="15.75">
      <c r="A40" s="95">
        <v>30</v>
      </c>
      <c r="B40" s="96" t="s">
        <v>66</v>
      </c>
      <c r="C40" s="111"/>
      <c r="D40" s="112"/>
      <c r="E40" s="113"/>
      <c r="F40" s="114"/>
      <c r="G40" s="111"/>
      <c r="H40" s="112"/>
      <c r="I40" s="62"/>
      <c r="J40" s="114"/>
      <c r="K40" s="57"/>
      <c r="L40" s="61"/>
      <c r="M40" s="64"/>
      <c r="N40" s="67"/>
      <c r="O40" s="64"/>
      <c r="P40" s="67"/>
      <c r="Q40" s="66"/>
      <c r="R40" s="67"/>
      <c r="S40" s="64"/>
      <c r="T40" s="67"/>
      <c r="U40" s="64"/>
      <c r="V40" s="67"/>
      <c r="W40" s="64"/>
      <c r="X40" s="67"/>
    </row>
    <row r="41" spans="1:24" ht="15.75">
      <c r="A41" s="95">
        <v>31</v>
      </c>
      <c r="B41" s="96" t="s">
        <v>67</v>
      </c>
      <c r="C41" s="111"/>
      <c r="D41" s="112"/>
      <c r="E41" s="113"/>
      <c r="F41" s="60"/>
      <c r="G41" s="111"/>
      <c r="H41" s="112"/>
      <c r="I41" s="66"/>
      <c r="J41" s="114"/>
      <c r="K41" s="57"/>
      <c r="L41" s="61"/>
      <c r="M41" s="64"/>
      <c r="N41" s="67"/>
      <c r="O41" s="64"/>
      <c r="P41" s="67"/>
      <c r="Q41" s="66"/>
      <c r="R41" s="67"/>
      <c r="S41" s="64"/>
      <c r="T41" s="67"/>
      <c r="U41" s="64"/>
      <c r="V41" s="67"/>
      <c r="W41" s="64"/>
      <c r="X41" s="67"/>
    </row>
    <row r="42" spans="1:24" ht="15.75">
      <c r="A42" s="95">
        <v>32</v>
      </c>
      <c r="B42" s="96" t="s">
        <v>68</v>
      </c>
      <c r="C42" s="111"/>
      <c r="D42" s="112"/>
      <c r="E42" s="113"/>
      <c r="F42" s="114"/>
      <c r="G42" s="111"/>
      <c r="H42" s="112"/>
      <c r="I42" s="66"/>
      <c r="J42" s="114"/>
      <c r="K42" s="57"/>
      <c r="L42" s="61"/>
      <c r="M42" s="64"/>
      <c r="N42" s="67"/>
      <c r="O42" s="64"/>
      <c r="P42" s="67"/>
      <c r="Q42" s="66"/>
      <c r="R42" s="67"/>
      <c r="S42" s="64"/>
      <c r="T42" s="67"/>
      <c r="U42" s="64"/>
      <c r="V42" s="67"/>
      <c r="W42" s="64"/>
      <c r="X42" s="67"/>
    </row>
    <row r="43" spans="1:24" ht="15.75">
      <c r="A43" s="95">
        <v>33</v>
      </c>
      <c r="B43" s="96" t="s">
        <v>69</v>
      </c>
      <c r="C43" s="57"/>
      <c r="D43" s="80"/>
      <c r="E43" s="62"/>
      <c r="F43" s="81"/>
      <c r="G43" s="57"/>
      <c r="H43" s="80"/>
      <c r="I43" s="75"/>
      <c r="J43" s="81"/>
      <c r="K43" s="57"/>
      <c r="L43" s="80"/>
      <c r="M43" s="73"/>
      <c r="N43" s="74"/>
      <c r="O43" s="73"/>
      <c r="P43" s="74"/>
      <c r="Q43" s="75"/>
      <c r="R43" s="74"/>
      <c r="S43" s="73"/>
      <c r="T43" s="74"/>
      <c r="U43" s="73"/>
      <c r="V43" s="74"/>
      <c r="W43" s="73"/>
      <c r="X43" s="74"/>
    </row>
    <row r="44" spans="1:24" ht="15.75">
      <c r="A44" s="115">
        <v>34</v>
      </c>
      <c r="B44" s="116" t="s">
        <v>70</v>
      </c>
      <c r="C44" s="111"/>
      <c r="D44" s="112"/>
      <c r="E44" s="113"/>
      <c r="F44" s="114"/>
      <c r="G44" s="111"/>
      <c r="H44" s="112"/>
      <c r="I44" s="66"/>
      <c r="J44" s="63"/>
      <c r="K44" s="111"/>
      <c r="L44" s="112"/>
      <c r="M44" s="64"/>
      <c r="N44" s="67"/>
      <c r="O44" s="64"/>
      <c r="P44" s="67"/>
      <c r="Q44" s="66"/>
      <c r="R44" s="67"/>
      <c r="S44" s="64"/>
      <c r="T44" s="67"/>
      <c r="U44" s="64"/>
      <c r="V44" s="67"/>
      <c r="W44" s="64"/>
      <c r="X44" s="67"/>
    </row>
    <row r="45" spans="1:24" ht="15.75">
      <c r="A45" s="115">
        <v>35</v>
      </c>
      <c r="B45" s="116" t="s">
        <v>71</v>
      </c>
      <c r="C45" s="73"/>
      <c r="D45" s="74"/>
      <c r="E45" s="62"/>
      <c r="F45" s="79"/>
      <c r="G45" s="57"/>
      <c r="H45" s="80"/>
      <c r="I45" s="75"/>
      <c r="J45" s="79"/>
      <c r="K45" s="57"/>
      <c r="L45" s="80"/>
      <c r="M45" s="73"/>
      <c r="N45" s="74"/>
      <c r="O45" s="73"/>
      <c r="P45" s="74"/>
      <c r="Q45" s="75"/>
      <c r="R45" s="74"/>
      <c r="S45" s="73"/>
      <c r="T45" s="74"/>
      <c r="U45" s="73"/>
      <c r="V45" s="74"/>
      <c r="W45" s="99"/>
      <c r="X45" s="102"/>
    </row>
    <row r="46" spans="1:24" ht="16.5" thickBot="1">
      <c r="A46" s="97">
        <v>36</v>
      </c>
      <c r="B46" s="117"/>
      <c r="C46" s="84"/>
      <c r="D46" s="102"/>
      <c r="E46" s="86"/>
      <c r="F46" s="118"/>
      <c r="G46" s="119"/>
      <c r="H46" s="120"/>
      <c r="I46" s="86"/>
      <c r="J46" s="118"/>
      <c r="K46" s="119"/>
      <c r="L46" s="120"/>
      <c r="M46" s="99"/>
      <c r="N46" s="102"/>
      <c r="O46" s="99"/>
      <c r="P46" s="102"/>
      <c r="Q46" s="103"/>
      <c r="R46" s="102"/>
      <c r="S46" s="99"/>
      <c r="T46" s="102"/>
      <c r="U46" s="99"/>
      <c r="V46" s="102"/>
      <c r="W46" s="84"/>
      <c r="X46" s="102"/>
    </row>
    <row r="47" spans="1:24" ht="16.5" thickBot="1">
      <c r="A47" s="38"/>
      <c r="B47" s="89" t="s">
        <v>9</v>
      </c>
      <c r="C47" s="121">
        <f t="shared" ref="C47:X47" si="2">SUM(C28:C46)</f>
        <v>156</v>
      </c>
      <c r="D47" s="91">
        <f t="shared" si="2"/>
        <v>28</v>
      </c>
      <c r="E47" s="122">
        <f t="shared" si="2"/>
        <v>171</v>
      </c>
      <c r="F47" s="89">
        <f t="shared" si="2"/>
        <v>20</v>
      </c>
      <c r="G47" s="121">
        <f t="shared" si="2"/>
        <v>154</v>
      </c>
      <c r="H47" s="91">
        <f t="shared" si="2"/>
        <v>18</v>
      </c>
      <c r="I47" s="122">
        <f t="shared" si="2"/>
        <v>168</v>
      </c>
      <c r="J47" s="89">
        <f t="shared" si="2"/>
        <v>15</v>
      </c>
      <c r="K47" s="121">
        <f t="shared" si="2"/>
        <v>178</v>
      </c>
      <c r="L47" s="91">
        <f t="shared" si="2"/>
        <v>14</v>
      </c>
      <c r="M47" s="121">
        <f t="shared" si="2"/>
        <v>178</v>
      </c>
      <c r="N47" s="91">
        <f t="shared" si="2"/>
        <v>19</v>
      </c>
      <c r="O47" s="121">
        <f t="shared" si="2"/>
        <v>183</v>
      </c>
      <c r="P47" s="91">
        <f t="shared" si="2"/>
        <v>37</v>
      </c>
      <c r="Q47" s="121">
        <f t="shared" si="2"/>
        <v>190</v>
      </c>
      <c r="R47" s="91">
        <f t="shared" si="2"/>
        <v>44</v>
      </c>
      <c r="S47" s="121">
        <f t="shared" si="2"/>
        <v>196</v>
      </c>
      <c r="T47" s="91">
        <f t="shared" si="2"/>
        <v>39</v>
      </c>
      <c r="U47" s="121">
        <f t="shared" si="2"/>
        <v>201</v>
      </c>
      <c r="V47" s="91">
        <f t="shared" si="2"/>
        <v>60</v>
      </c>
      <c r="W47" s="40">
        <f t="shared" si="2"/>
        <v>202</v>
      </c>
      <c r="X47" s="123">
        <f t="shared" si="2"/>
        <v>35</v>
      </c>
    </row>
    <row r="48" spans="1:24" ht="15.75">
      <c r="A48" s="92">
        <v>37</v>
      </c>
      <c r="B48" s="93" t="s">
        <v>72</v>
      </c>
      <c r="C48" s="57">
        <v>25</v>
      </c>
      <c r="D48" s="58">
        <v>16</v>
      </c>
      <c r="E48" s="109">
        <v>22</v>
      </c>
      <c r="F48" s="60">
        <v>5</v>
      </c>
      <c r="G48" s="57">
        <v>21</v>
      </c>
      <c r="H48" s="61">
        <v>0</v>
      </c>
      <c r="I48" s="62">
        <v>21</v>
      </c>
      <c r="J48" s="63">
        <v>0</v>
      </c>
      <c r="K48" s="57">
        <v>18</v>
      </c>
      <c r="L48" s="61">
        <v>0</v>
      </c>
      <c r="M48" s="64">
        <v>14</v>
      </c>
      <c r="N48" s="65">
        <v>0</v>
      </c>
      <c r="O48" s="64">
        <v>9</v>
      </c>
      <c r="P48" s="65">
        <v>0</v>
      </c>
      <c r="Q48" s="66">
        <v>9</v>
      </c>
      <c r="R48" s="67">
        <v>0</v>
      </c>
      <c r="S48" s="64">
        <v>7</v>
      </c>
      <c r="T48" s="67">
        <v>2</v>
      </c>
      <c r="U48" s="64">
        <v>7</v>
      </c>
      <c r="V48" s="67">
        <v>0</v>
      </c>
      <c r="W48" s="110">
        <v>7</v>
      </c>
      <c r="X48" s="67">
        <v>0</v>
      </c>
    </row>
    <row r="49" spans="1:24" ht="15.75">
      <c r="A49" s="95">
        <v>38</v>
      </c>
      <c r="B49" s="96" t="s">
        <v>73</v>
      </c>
      <c r="C49" s="57">
        <v>3</v>
      </c>
      <c r="D49" s="58">
        <v>2</v>
      </c>
      <c r="E49" s="109">
        <v>3</v>
      </c>
      <c r="F49" s="60">
        <v>3</v>
      </c>
      <c r="G49" s="57">
        <v>1</v>
      </c>
      <c r="H49" s="61">
        <v>3</v>
      </c>
      <c r="I49" s="62">
        <v>1</v>
      </c>
      <c r="J49" s="63">
        <v>2</v>
      </c>
      <c r="K49" s="57">
        <v>1</v>
      </c>
      <c r="L49" s="61">
        <v>2</v>
      </c>
      <c r="M49" s="64">
        <v>1</v>
      </c>
      <c r="N49" s="65">
        <v>2</v>
      </c>
      <c r="O49" s="64">
        <v>1</v>
      </c>
      <c r="P49" s="65">
        <v>1</v>
      </c>
      <c r="Q49" s="66">
        <v>1</v>
      </c>
      <c r="R49" s="67">
        <v>3</v>
      </c>
      <c r="S49" s="64">
        <v>1</v>
      </c>
      <c r="T49" s="67">
        <v>2</v>
      </c>
      <c r="U49" s="64">
        <v>1</v>
      </c>
      <c r="V49" s="67">
        <v>5</v>
      </c>
      <c r="W49" s="64">
        <v>1</v>
      </c>
      <c r="X49" s="67">
        <v>3</v>
      </c>
    </row>
    <row r="50" spans="1:24" ht="15.75">
      <c r="A50" s="95">
        <v>39</v>
      </c>
      <c r="B50" s="96" t="s">
        <v>74</v>
      </c>
      <c r="C50" s="57">
        <v>53</v>
      </c>
      <c r="D50" s="58">
        <v>12</v>
      </c>
      <c r="E50" s="109">
        <v>52</v>
      </c>
      <c r="F50" s="60">
        <v>13</v>
      </c>
      <c r="G50" s="57">
        <v>37</v>
      </c>
      <c r="H50" s="61">
        <v>4</v>
      </c>
      <c r="I50" s="62">
        <v>39</v>
      </c>
      <c r="J50" s="63">
        <v>4</v>
      </c>
      <c r="K50" s="57">
        <v>39</v>
      </c>
      <c r="L50" s="61">
        <v>2</v>
      </c>
      <c r="M50" s="64">
        <v>34</v>
      </c>
      <c r="N50" s="65">
        <v>4</v>
      </c>
      <c r="O50" s="64">
        <v>31</v>
      </c>
      <c r="P50" s="65">
        <v>2</v>
      </c>
      <c r="Q50" s="66">
        <v>28</v>
      </c>
      <c r="R50" s="67">
        <v>2</v>
      </c>
      <c r="S50" s="64">
        <v>26</v>
      </c>
      <c r="T50" s="67">
        <v>3</v>
      </c>
      <c r="U50" s="64">
        <v>24</v>
      </c>
      <c r="V50" s="67">
        <v>3</v>
      </c>
      <c r="W50" s="64">
        <v>24</v>
      </c>
      <c r="X50" s="67">
        <v>4</v>
      </c>
    </row>
    <row r="51" spans="1:24" ht="15.75">
      <c r="A51" s="95">
        <v>40</v>
      </c>
      <c r="B51" s="96" t="s">
        <v>75</v>
      </c>
      <c r="C51" s="57">
        <v>5</v>
      </c>
      <c r="D51" s="58">
        <v>18</v>
      </c>
      <c r="E51" s="109">
        <v>4</v>
      </c>
      <c r="F51" s="60">
        <v>7</v>
      </c>
      <c r="G51" s="57">
        <v>4</v>
      </c>
      <c r="H51" s="61">
        <v>11</v>
      </c>
      <c r="I51" s="62">
        <v>7</v>
      </c>
      <c r="J51" s="63">
        <v>5</v>
      </c>
      <c r="K51" s="57">
        <v>7</v>
      </c>
      <c r="L51" s="61">
        <v>4</v>
      </c>
      <c r="M51" s="64">
        <v>7</v>
      </c>
      <c r="N51" s="65">
        <v>4</v>
      </c>
      <c r="O51" s="64">
        <v>7</v>
      </c>
      <c r="P51" s="65">
        <v>5</v>
      </c>
      <c r="Q51" s="66">
        <v>7</v>
      </c>
      <c r="R51" s="67">
        <v>4</v>
      </c>
      <c r="S51" s="64">
        <v>7</v>
      </c>
      <c r="T51" s="67">
        <v>6</v>
      </c>
      <c r="U51" s="64">
        <v>7</v>
      </c>
      <c r="V51" s="67">
        <v>9</v>
      </c>
      <c r="W51" s="64">
        <v>7</v>
      </c>
      <c r="X51" s="67">
        <v>5</v>
      </c>
    </row>
    <row r="52" spans="1:24" ht="15.75">
      <c r="A52" s="95">
        <v>41</v>
      </c>
      <c r="B52" s="96" t="s">
        <v>76</v>
      </c>
      <c r="C52" s="57"/>
      <c r="D52" s="58"/>
      <c r="E52" s="109"/>
      <c r="F52" s="60"/>
      <c r="G52" s="57"/>
      <c r="H52" s="61"/>
      <c r="I52" s="62"/>
      <c r="J52" s="63"/>
      <c r="K52" s="57"/>
      <c r="L52" s="61"/>
      <c r="M52" s="73">
        <v>0</v>
      </c>
      <c r="N52" s="124">
        <v>0</v>
      </c>
      <c r="O52" s="73">
        <v>0</v>
      </c>
      <c r="P52" s="74">
        <v>0</v>
      </c>
      <c r="Q52" s="75">
        <v>0</v>
      </c>
      <c r="R52" s="74">
        <v>0</v>
      </c>
      <c r="S52" s="73">
        <v>0</v>
      </c>
      <c r="T52" s="74">
        <v>0</v>
      </c>
      <c r="U52" s="73">
        <v>0</v>
      </c>
      <c r="V52" s="74">
        <v>0</v>
      </c>
      <c r="W52" s="73">
        <v>0</v>
      </c>
      <c r="X52" s="74">
        <v>0</v>
      </c>
    </row>
    <row r="53" spans="1:24" ht="16.5" thickBot="1">
      <c r="A53" s="97">
        <v>42</v>
      </c>
      <c r="B53" s="117"/>
      <c r="C53" s="119"/>
      <c r="D53" s="102"/>
      <c r="E53" s="125"/>
      <c r="F53" s="118"/>
      <c r="G53" s="119"/>
      <c r="H53" s="120"/>
      <c r="I53" s="62"/>
      <c r="J53" s="118"/>
      <c r="K53" s="84"/>
      <c r="L53" s="120"/>
      <c r="M53" s="99"/>
      <c r="N53" s="102"/>
      <c r="O53" s="99"/>
      <c r="P53" s="102"/>
      <c r="Q53" s="103"/>
      <c r="R53" s="102"/>
      <c r="S53" s="99"/>
      <c r="T53" s="102"/>
      <c r="U53" s="99"/>
      <c r="V53" s="126"/>
      <c r="W53" s="84"/>
      <c r="X53" s="102"/>
    </row>
    <row r="54" spans="1:24" ht="16.5" thickBot="1">
      <c r="A54" s="38"/>
      <c r="B54" s="89" t="s">
        <v>77</v>
      </c>
      <c r="C54" s="121">
        <f t="shared" ref="C54:X54" si="3">SUM(C48:C53)</f>
        <v>86</v>
      </c>
      <c r="D54" s="91">
        <f t="shared" si="3"/>
        <v>48</v>
      </c>
      <c r="E54" s="122">
        <f t="shared" si="3"/>
        <v>81</v>
      </c>
      <c r="F54" s="89">
        <f t="shared" si="3"/>
        <v>28</v>
      </c>
      <c r="G54" s="121">
        <f t="shared" si="3"/>
        <v>63</v>
      </c>
      <c r="H54" s="91">
        <f t="shared" si="3"/>
        <v>18</v>
      </c>
      <c r="I54" s="122">
        <f t="shared" si="3"/>
        <v>68</v>
      </c>
      <c r="J54" s="89">
        <f t="shared" si="3"/>
        <v>11</v>
      </c>
      <c r="K54" s="121">
        <f t="shared" si="3"/>
        <v>65</v>
      </c>
      <c r="L54" s="91">
        <f t="shared" si="3"/>
        <v>8</v>
      </c>
      <c r="M54" s="121">
        <f t="shared" si="3"/>
        <v>56</v>
      </c>
      <c r="N54" s="91">
        <f t="shared" si="3"/>
        <v>10</v>
      </c>
      <c r="O54" s="121">
        <f t="shared" si="3"/>
        <v>48</v>
      </c>
      <c r="P54" s="91">
        <f t="shared" si="3"/>
        <v>8</v>
      </c>
      <c r="Q54" s="121">
        <f t="shared" si="3"/>
        <v>45</v>
      </c>
      <c r="R54" s="91">
        <f t="shared" si="3"/>
        <v>9</v>
      </c>
      <c r="S54" s="121">
        <f t="shared" si="3"/>
        <v>41</v>
      </c>
      <c r="T54" s="91">
        <f t="shared" si="3"/>
        <v>13</v>
      </c>
      <c r="U54" s="121">
        <f t="shared" si="3"/>
        <v>39</v>
      </c>
      <c r="V54" s="91">
        <f t="shared" si="3"/>
        <v>17</v>
      </c>
      <c r="W54" s="40">
        <f t="shared" si="3"/>
        <v>39</v>
      </c>
      <c r="X54" s="123">
        <f t="shared" si="3"/>
        <v>12</v>
      </c>
    </row>
    <row r="55" spans="1:24" ht="16.5" thickBot="1">
      <c r="A55" s="127"/>
      <c r="B55" s="128" t="s">
        <v>10</v>
      </c>
      <c r="C55" s="121">
        <f t="shared" ref="C55:X55" si="4">C6+C20+C27+C47+C54</f>
        <v>28140</v>
      </c>
      <c r="D55" s="91">
        <f t="shared" si="4"/>
        <v>217405</v>
      </c>
      <c r="E55" s="122">
        <f t="shared" si="4"/>
        <v>28860</v>
      </c>
      <c r="F55" s="89">
        <f t="shared" si="4"/>
        <v>54412</v>
      </c>
      <c r="G55" s="121">
        <f t="shared" si="4"/>
        <v>29642</v>
      </c>
      <c r="H55" s="91">
        <f t="shared" si="4"/>
        <v>110313</v>
      </c>
      <c r="I55" s="122">
        <f t="shared" si="4"/>
        <v>29924</v>
      </c>
      <c r="J55" s="89">
        <f t="shared" si="4"/>
        <v>188221</v>
      </c>
      <c r="K55" s="121">
        <f t="shared" si="4"/>
        <v>29823</v>
      </c>
      <c r="L55" s="91">
        <f t="shared" si="4"/>
        <v>122828</v>
      </c>
      <c r="M55" s="121">
        <f t="shared" si="4"/>
        <v>29903</v>
      </c>
      <c r="N55" s="91">
        <f t="shared" si="4"/>
        <v>179296</v>
      </c>
      <c r="O55" s="121">
        <f t="shared" si="4"/>
        <v>30427</v>
      </c>
      <c r="P55" s="91">
        <f t="shared" si="4"/>
        <v>107938</v>
      </c>
      <c r="Q55" s="122">
        <f t="shared" si="4"/>
        <v>30648</v>
      </c>
      <c r="R55" s="91">
        <f t="shared" si="4"/>
        <v>96266</v>
      </c>
      <c r="S55" s="121">
        <f t="shared" si="4"/>
        <v>31004</v>
      </c>
      <c r="T55" s="91">
        <f t="shared" si="4"/>
        <v>84602</v>
      </c>
      <c r="U55" s="121">
        <f t="shared" si="4"/>
        <v>31117</v>
      </c>
      <c r="V55" s="91">
        <f t="shared" si="4"/>
        <v>145408</v>
      </c>
      <c r="W55" s="121">
        <f t="shared" si="4"/>
        <v>31184</v>
      </c>
      <c r="X55" s="91">
        <f t="shared" si="4"/>
        <v>99700</v>
      </c>
    </row>
  </sheetData>
  <mergeCells count="14">
    <mergeCell ref="M4:N4"/>
    <mergeCell ref="A1:X1"/>
    <mergeCell ref="A2:X2"/>
    <mergeCell ref="A3:X3"/>
    <mergeCell ref="C4:D4"/>
    <mergeCell ref="E4:F4"/>
    <mergeCell ref="G4:H4"/>
    <mergeCell ref="I4:J4"/>
    <mergeCell ref="K4:L4"/>
    <mergeCell ref="O4:P4"/>
    <mergeCell ref="Q4:R4"/>
    <mergeCell ref="S4:T4"/>
    <mergeCell ref="U4:V4"/>
    <mergeCell ref="W4:X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U55"/>
  <sheetViews>
    <sheetView workbookViewId="0">
      <selection sqref="A1:AU2"/>
    </sheetView>
  </sheetViews>
  <sheetFormatPr defaultRowHeight="15"/>
  <sheetData>
    <row r="1" spans="1:47" ht="18.75">
      <c r="A1" s="227" t="s">
        <v>78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</row>
    <row r="2" spans="1:47" ht="15.75" thickBot="1">
      <c r="A2" s="239" t="s">
        <v>79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</row>
    <row r="3" spans="1:47" ht="16.5" thickBot="1">
      <c r="A3" s="129" t="s">
        <v>80</v>
      </c>
      <c r="B3" s="129" t="s">
        <v>24</v>
      </c>
      <c r="C3" s="130"/>
      <c r="D3" s="237" t="s">
        <v>25</v>
      </c>
      <c r="E3" s="237"/>
      <c r="F3" s="237"/>
      <c r="G3" s="238"/>
      <c r="H3" s="236" t="s">
        <v>26</v>
      </c>
      <c r="I3" s="237"/>
      <c r="J3" s="237"/>
      <c r="K3" s="238"/>
      <c r="L3" s="236" t="s">
        <v>27</v>
      </c>
      <c r="M3" s="237"/>
      <c r="N3" s="237"/>
      <c r="O3" s="238"/>
      <c r="P3" s="236" t="s">
        <v>28</v>
      </c>
      <c r="Q3" s="237"/>
      <c r="R3" s="237"/>
      <c r="S3" s="238"/>
      <c r="T3" s="236" t="s">
        <v>29</v>
      </c>
      <c r="U3" s="237"/>
      <c r="V3" s="237"/>
      <c r="W3" s="238"/>
      <c r="X3" s="236" t="s">
        <v>30</v>
      </c>
      <c r="Y3" s="237"/>
      <c r="Z3" s="237"/>
      <c r="AA3" s="238"/>
      <c r="AB3" s="236" t="s">
        <v>31</v>
      </c>
      <c r="AC3" s="237"/>
      <c r="AD3" s="237"/>
      <c r="AE3" s="238"/>
      <c r="AF3" s="236" t="s">
        <v>32</v>
      </c>
      <c r="AG3" s="237"/>
      <c r="AH3" s="237"/>
      <c r="AI3" s="238"/>
      <c r="AJ3" s="236" t="s">
        <v>33</v>
      </c>
      <c r="AK3" s="237"/>
      <c r="AL3" s="237"/>
      <c r="AM3" s="238"/>
      <c r="AN3" s="236" t="s">
        <v>34</v>
      </c>
      <c r="AO3" s="237"/>
      <c r="AP3" s="237"/>
      <c r="AQ3" s="238"/>
      <c r="AR3" s="237" t="s">
        <v>35</v>
      </c>
      <c r="AS3" s="237"/>
      <c r="AT3" s="237"/>
      <c r="AU3" s="238"/>
    </row>
    <row r="4" spans="1:47" ht="15.75">
      <c r="A4" s="131"/>
      <c r="B4" s="131" t="s">
        <v>36</v>
      </c>
      <c r="C4" s="120"/>
      <c r="D4" s="5" t="s">
        <v>81</v>
      </c>
      <c r="E4" s="132" t="s">
        <v>81</v>
      </c>
      <c r="F4" s="6" t="s">
        <v>82</v>
      </c>
      <c r="G4" s="2"/>
      <c r="H4" s="5" t="s">
        <v>81</v>
      </c>
      <c r="I4" s="132" t="s">
        <v>81</v>
      </c>
      <c r="J4" s="6" t="s">
        <v>82</v>
      </c>
      <c r="K4" s="2"/>
      <c r="L4" s="5" t="s">
        <v>81</v>
      </c>
      <c r="M4" s="132" t="s">
        <v>81</v>
      </c>
      <c r="N4" s="6" t="s">
        <v>82</v>
      </c>
      <c r="O4" s="2"/>
      <c r="P4" s="5" t="s">
        <v>81</v>
      </c>
      <c r="Q4" s="132" t="s">
        <v>81</v>
      </c>
      <c r="R4" s="6" t="s">
        <v>82</v>
      </c>
      <c r="S4" s="2"/>
      <c r="T4" s="5" t="s">
        <v>81</v>
      </c>
      <c r="U4" s="132" t="s">
        <v>81</v>
      </c>
      <c r="V4" s="6" t="s">
        <v>82</v>
      </c>
      <c r="W4" s="2"/>
      <c r="X4" s="5" t="s">
        <v>81</v>
      </c>
      <c r="Y4" s="132" t="s">
        <v>81</v>
      </c>
      <c r="Z4" s="6" t="s">
        <v>82</v>
      </c>
      <c r="AA4" s="2"/>
      <c r="AB4" s="5" t="s">
        <v>81</v>
      </c>
      <c r="AC4" s="132" t="s">
        <v>81</v>
      </c>
      <c r="AD4" s="6" t="s">
        <v>82</v>
      </c>
      <c r="AE4" s="2"/>
      <c r="AF4" s="5" t="s">
        <v>81</v>
      </c>
      <c r="AG4" s="132" t="s">
        <v>81</v>
      </c>
      <c r="AH4" s="6" t="s">
        <v>82</v>
      </c>
      <c r="AI4" s="2"/>
      <c r="AJ4" s="5" t="s">
        <v>81</v>
      </c>
      <c r="AK4" s="132" t="s">
        <v>81</v>
      </c>
      <c r="AL4" s="6" t="s">
        <v>82</v>
      </c>
      <c r="AM4" s="2"/>
      <c r="AN4" s="5" t="s">
        <v>81</v>
      </c>
      <c r="AO4" s="132" t="s">
        <v>81</v>
      </c>
      <c r="AP4" s="6" t="s">
        <v>82</v>
      </c>
      <c r="AQ4" s="2"/>
      <c r="AR4" s="5" t="s">
        <v>81</v>
      </c>
      <c r="AS4" s="132" t="s">
        <v>81</v>
      </c>
      <c r="AT4" s="6" t="s">
        <v>82</v>
      </c>
      <c r="AU4" s="2"/>
    </row>
    <row r="5" spans="1:47" ht="16.5" thickBot="1">
      <c r="A5" s="133"/>
      <c r="B5" s="133"/>
      <c r="C5" s="134"/>
      <c r="D5" s="133" t="s">
        <v>83</v>
      </c>
      <c r="E5" s="135" t="s">
        <v>84</v>
      </c>
      <c r="F5" s="136" t="s">
        <v>85</v>
      </c>
      <c r="G5" s="137" t="s">
        <v>86</v>
      </c>
      <c r="H5" s="133" t="s">
        <v>83</v>
      </c>
      <c r="I5" s="135" t="s">
        <v>84</v>
      </c>
      <c r="J5" s="136" t="s">
        <v>85</v>
      </c>
      <c r="K5" s="137" t="s">
        <v>86</v>
      </c>
      <c r="L5" s="133" t="s">
        <v>83</v>
      </c>
      <c r="M5" s="135" t="s">
        <v>84</v>
      </c>
      <c r="N5" s="136" t="s">
        <v>85</v>
      </c>
      <c r="O5" s="137" t="s">
        <v>86</v>
      </c>
      <c r="P5" s="133" t="s">
        <v>83</v>
      </c>
      <c r="Q5" s="135" t="s">
        <v>84</v>
      </c>
      <c r="R5" s="136" t="s">
        <v>85</v>
      </c>
      <c r="S5" s="137" t="s">
        <v>86</v>
      </c>
      <c r="T5" s="133" t="s">
        <v>83</v>
      </c>
      <c r="U5" s="135" t="s">
        <v>84</v>
      </c>
      <c r="V5" s="136" t="s">
        <v>85</v>
      </c>
      <c r="W5" s="137" t="s">
        <v>86</v>
      </c>
      <c r="X5" s="133" t="s">
        <v>83</v>
      </c>
      <c r="Y5" s="135" t="s">
        <v>84</v>
      </c>
      <c r="Z5" s="136" t="s">
        <v>85</v>
      </c>
      <c r="AA5" s="137" t="s">
        <v>86</v>
      </c>
      <c r="AB5" s="133" t="s">
        <v>83</v>
      </c>
      <c r="AC5" s="135" t="s">
        <v>84</v>
      </c>
      <c r="AD5" s="136" t="s">
        <v>85</v>
      </c>
      <c r="AE5" s="137" t="s">
        <v>86</v>
      </c>
      <c r="AF5" s="133" t="s">
        <v>83</v>
      </c>
      <c r="AG5" s="135" t="s">
        <v>84</v>
      </c>
      <c r="AH5" s="136" t="s">
        <v>85</v>
      </c>
      <c r="AI5" s="137" t="s">
        <v>86</v>
      </c>
      <c r="AJ5" s="133" t="s">
        <v>83</v>
      </c>
      <c r="AK5" s="135" t="s">
        <v>84</v>
      </c>
      <c r="AL5" s="136" t="s">
        <v>85</v>
      </c>
      <c r="AM5" s="137" t="s">
        <v>86</v>
      </c>
      <c r="AN5" s="133" t="s">
        <v>83</v>
      </c>
      <c r="AO5" s="135" t="s">
        <v>84</v>
      </c>
      <c r="AP5" s="136" t="s">
        <v>85</v>
      </c>
      <c r="AQ5" s="137" t="s">
        <v>86</v>
      </c>
      <c r="AR5" s="133" t="s">
        <v>83</v>
      </c>
      <c r="AS5" s="135" t="s">
        <v>84</v>
      </c>
      <c r="AT5" s="136" t="s">
        <v>85</v>
      </c>
      <c r="AU5" s="137" t="s">
        <v>86</v>
      </c>
    </row>
    <row r="6" spans="1:47" ht="16.5" thickBot="1">
      <c r="A6" s="138">
        <v>1</v>
      </c>
      <c r="B6" s="127" t="s">
        <v>5</v>
      </c>
      <c r="C6" s="139"/>
      <c r="D6" s="140">
        <f>16262+25706+5095</f>
        <v>47063</v>
      </c>
      <c r="E6" s="141">
        <f>182862+19800+19703+7150</f>
        <v>229515</v>
      </c>
      <c r="F6" s="141"/>
      <c r="G6" s="141">
        <f>SUM(D6:F6)</f>
        <v>276578</v>
      </c>
      <c r="H6" s="141">
        <f>5000+1100+5300</f>
        <v>11400</v>
      </c>
      <c r="I6" s="141">
        <f>91952+30000+61616+45000</f>
        <v>228568</v>
      </c>
      <c r="J6" s="141"/>
      <c r="K6" s="141">
        <f>SUM(H6:J6)</f>
        <v>239968</v>
      </c>
      <c r="L6" s="141">
        <f>700+2500+578</f>
        <v>3778</v>
      </c>
      <c r="M6" s="141">
        <f>204430+95600+72263+1200</f>
        <v>373493</v>
      </c>
      <c r="N6" s="141"/>
      <c r="O6" s="141">
        <f>SUM(L6:N6)</f>
        <v>377271</v>
      </c>
      <c r="P6" s="141">
        <v>228</v>
      </c>
      <c r="Q6" s="141">
        <f>123210+66200+74947+7100</f>
        <v>271457</v>
      </c>
      <c r="R6" s="141"/>
      <c r="S6" s="141">
        <f>SUM(P6:R6)</f>
        <v>271685</v>
      </c>
      <c r="T6" s="141">
        <f>1005+140+1285+1850</f>
        <v>4280</v>
      </c>
      <c r="U6" s="141">
        <f>68596+76950+170772+5900</f>
        <v>322218</v>
      </c>
      <c r="V6" s="141"/>
      <c r="W6" s="141">
        <f>SUM(T6:V6)</f>
        <v>326498</v>
      </c>
      <c r="X6" s="141">
        <f>400+482+400</f>
        <v>1282</v>
      </c>
      <c r="Y6" s="141">
        <f>59124+30500+110179+5500</f>
        <v>205303</v>
      </c>
      <c r="Z6" s="141">
        <v>7000</v>
      </c>
      <c r="AA6" s="141">
        <f>SUM(X6:Z6)</f>
        <v>213585</v>
      </c>
      <c r="AB6" s="141">
        <v>11448</v>
      </c>
      <c r="AC6" s="141">
        <f>91620+168166+12366</f>
        <v>272152</v>
      </c>
      <c r="AD6" s="141"/>
      <c r="AE6" s="141">
        <f>SUM(AB6:AD6)</f>
        <v>283600</v>
      </c>
      <c r="AF6" s="141">
        <f>420+1000+1313</f>
        <v>2733</v>
      </c>
      <c r="AG6" s="141">
        <f>14609+46012+105510+19225</f>
        <v>185356</v>
      </c>
      <c r="AH6" s="141"/>
      <c r="AI6" s="141">
        <f>SUM(AF6:AH6)</f>
        <v>188089</v>
      </c>
      <c r="AJ6" s="141">
        <f>9680+100</f>
        <v>9780</v>
      </c>
      <c r="AK6" s="141">
        <f>4180+60052+113400+37185</f>
        <v>214817</v>
      </c>
      <c r="AL6" s="141"/>
      <c r="AM6" s="141">
        <f>SUM(AJ6:AL6)</f>
        <v>224597</v>
      </c>
      <c r="AN6" s="140">
        <f>24719+8816</f>
        <v>33535</v>
      </c>
      <c r="AO6" s="141">
        <f>6000+56000+41885+25238</f>
        <v>129123</v>
      </c>
      <c r="AP6" s="141"/>
      <c r="AQ6" s="141">
        <f>SUM(AN6:AP6)</f>
        <v>162658</v>
      </c>
      <c r="AR6" s="140">
        <f>2096+4969</f>
        <v>7065</v>
      </c>
      <c r="AS6" s="141">
        <f>25600+38921+32200</f>
        <v>96721</v>
      </c>
      <c r="AT6" s="141">
        <v>0</v>
      </c>
      <c r="AU6" s="141">
        <f>SUM(AR6:AT6)</f>
        <v>103786</v>
      </c>
    </row>
    <row r="7" spans="1:47" ht="15.75">
      <c r="A7" s="92">
        <v>2</v>
      </c>
      <c r="B7" s="142" t="s">
        <v>37</v>
      </c>
      <c r="C7" s="143"/>
      <c r="D7" s="144">
        <v>4556</v>
      </c>
      <c r="E7" s="145">
        <v>11265</v>
      </c>
      <c r="F7" s="145"/>
      <c r="G7" s="146">
        <f>SUM(D7:F7)</f>
        <v>15821</v>
      </c>
      <c r="H7" s="145">
        <v>0</v>
      </c>
      <c r="I7" s="145">
        <v>13300</v>
      </c>
      <c r="J7" s="145"/>
      <c r="K7" s="146">
        <f>SUM(H7:J7)</f>
        <v>13300</v>
      </c>
      <c r="L7" s="145">
        <f>200</f>
        <v>200</v>
      </c>
      <c r="M7" s="145">
        <v>11743</v>
      </c>
      <c r="N7" s="145"/>
      <c r="O7" s="146">
        <f>SUM(L7:N7)</f>
        <v>11943</v>
      </c>
      <c r="P7" s="145">
        <v>950</v>
      </c>
      <c r="Q7" s="145">
        <v>11915</v>
      </c>
      <c r="R7" s="145"/>
      <c r="S7" s="146">
        <f>SUM(P7:R7)</f>
        <v>12865</v>
      </c>
      <c r="T7" s="145">
        <v>950</v>
      </c>
      <c r="U7" s="145">
        <v>9400</v>
      </c>
      <c r="V7" s="145"/>
      <c r="W7" s="146">
        <f>SUM(T7:V7)</f>
        <v>10350</v>
      </c>
      <c r="X7" s="145">
        <v>0</v>
      </c>
      <c r="Y7" s="145">
        <v>12660</v>
      </c>
      <c r="Z7" s="145"/>
      <c r="AA7" s="146">
        <f>SUM(X7:Z7)</f>
        <v>12660</v>
      </c>
      <c r="AB7" s="145">
        <v>0</v>
      </c>
      <c r="AC7" s="145">
        <v>8500</v>
      </c>
      <c r="AD7" s="145"/>
      <c r="AE7" s="146">
        <f>SUM(AB7:AD7)</f>
        <v>8500</v>
      </c>
      <c r="AF7" s="145">
        <v>468</v>
      </c>
      <c r="AG7" s="145">
        <v>15195</v>
      </c>
      <c r="AH7" s="145"/>
      <c r="AI7" s="146">
        <f>SUM(AF7:AH7)</f>
        <v>15663</v>
      </c>
      <c r="AJ7" s="145">
        <v>0</v>
      </c>
      <c r="AK7" s="145">
        <v>16108</v>
      </c>
      <c r="AL7" s="145"/>
      <c r="AM7" s="146">
        <f>SUM(AJ7:AL7)</f>
        <v>16108</v>
      </c>
      <c r="AN7" s="144">
        <v>0</v>
      </c>
      <c r="AO7" s="145">
        <v>8744</v>
      </c>
      <c r="AP7" s="145"/>
      <c r="AQ7" s="146">
        <f>SUM(AN7:AP7)</f>
        <v>8744</v>
      </c>
      <c r="AR7" s="144">
        <v>1029</v>
      </c>
      <c r="AS7" s="145">
        <f>18162+2000</f>
        <v>20162</v>
      </c>
      <c r="AT7" s="145">
        <v>0</v>
      </c>
      <c r="AU7" s="146">
        <f>SUM(AR7:AT7)</f>
        <v>21191</v>
      </c>
    </row>
    <row r="8" spans="1:47" ht="15.75">
      <c r="A8" s="95">
        <v>3</v>
      </c>
      <c r="B8" s="147" t="s">
        <v>38</v>
      </c>
      <c r="C8" s="112"/>
      <c r="D8" s="111">
        <v>1407</v>
      </c>
      <c r="E8" s="113">
        <v>5000</v>
      </c>
      <c r="F8" s="113"/>
      <c r="G8" s="148">
        <f>SUM(D8:F8)</f>
        <v>6407</v>
      </c>
      <c r="H8" s="113">
        <v>22</v>
      </c>
      <c r="I8" s="113">
        <v>12000</v>
      </c>
      <c r="J8" s="113"/>
      <c r="K8" s="148">
        <f>SUM(H8:J8)</f>
        <v>12022</v>
      </c>
      <c r="L8" s="113">
        <v>0</v>
      </c>
      <c r="M8" s="113">
        <v>2515</v>
      </c>
      <c r="N8" s="113"/>
      <c r="O8" s="148">
        <f>SUM(L8:N8)</f>
        <v>2515</v>
      </c>
      <c r="P8" s="113"/>
      <c r="Q8" s="113">
        <v>3365</v>
      </c>
      <c r="R8" s="113"/>
      <c r="S8" s="148">
        <f>SUM(P8:R8)</f>
        <v>3365</v>
      </c>
      <c r="T8" s="113">
        <v>200</v>
      </c>
      <c r="U8" s="113">
        <v>1000</v>
      </c>
      <c r="V8" s="113"/>
      <c r="W8" s="148">
        <f>SUM(T8:V8)</f>
        <v>1200</v>
      </c>
      <c r="X8" s="113">
        <v>0</v>
      </c>
      <c r="Y8" s="113">
        <v>1500</v>
      </c>
      <c r="Z8" s="113"/>
      <c r="AA8" s="148">
        <f>SUM(X8:Z8)</f>
        <v>1500</v>
      </c>
      <c r="AB8" s="113">
        <v>0</v>
      </c>
      <c r="AC8" s="113">
        <v>3000</v>
      </c>
      <c r="AD8" s="113"/>
      <c r="AE8" s="148">
        <f>SUM(AB8:AD8)</f>
        <v>3000</v>
      </c>
      <c r="AF8" s="113">
        <v>0</v>
      </c>
      <c r="AG8" s="113">
        <v>25</v>
      </c>
      <c r="AH8" s="113"/>
      <c r="AI8" s="148">
        <f>SUM(AF8:AH8)</f>
        <v>25</v>
      </c>
      <c r="AJ8" s="113">
        <v>0</v>
      </c>
      <c r="AK8" s="113">
        <v>210</v>
      </c>
      <c r="AL8" s="113"/>
      <c r="AM8" s="148">
        <f>SUM(AJ8:AL8)</f>
        <v>210</v>
      </c>
      <c r="AN8" s="111">
        <v>0</v>
      </c>
      <c r="AO8" s="113">
        <v>300</v>
      </c>
      <c r="AP8" s="113"/>
      <c r="AQ8" s="148">
        <f>SUM(AN8:AP8)</f>
        <v>300</v>
      </c>
      <c r="AR8" s="111">
        <v>410</v>
      </c>
      <c r="AS8" s="113">
        <v>90</v>
      </c>
      <c r="AT8" s="113">
        <v>0</v>
      </c>
      <c r="AU8" s="148">
        <f>SUM(AR8:AT8)</f>
        <v>500</v>
      </c>
    </row>
    <row r="9" spans="1:47" ht="15.75">
      <c r="A9" s="95">
        <v>4</v>
      </c>
      <c r="B9" s="147" t="s">
        <v>39</v>
      </c>
      <c r="C9" s="112"/>
      <c r="D9" s="111">
        <v>329</v>
      </c>
      <c r="E9" s="113">
        <v>2500</v>
      </c>
      <c r="F9" s="113"/>
      <c r="G9" s="148">
        <f t="shared" ref="G9:G19" si="0">SUM(D9:F9)</f>
        <v>2829</v>
      </c>
      <c r="H9" s="113">
        <v>0</v>
      </c>
      <c r="I9" s="113">
        <v>10000</v>
      </c>
      <c r="J9" s="113"/>
      <c r="K9" s="148">
        <f t="shared" ref="K9:K19" si="1">SUM(H9:J9)</f>
        <v>10000</v>
      </c>
      <c r="L9" s="113">
        <v>0</v>
      </c>
      <c r="M9" s="113">
        <v>535</v>
      </c>
      <c r="N9" s="113"/>
      <c r="O9" s="148">
        <f t="shared" ref="O9:O19" si="2">SUM(L9:N9)</f>
        <v>535</v>
      </c>
      <c r="P9" s="113"/>
      <c r="Q9" s="113">
        <v>1950</v>
      </c>
      <c r="R9" s="113"/>
      <c r="S9" s="148">
        <f t="shared" ref="S9:S19" si="3">SUM(P9:R9)</f>
        <v>1950</v>
      </c>
      <c r="T9" s="113">
        <v>0</v>
      </c>
      <c r="U9" s="113">
        <v>2000</v>
      </c>
      <c r="V9" s="113"/>
      <c r="W9" s="148">
        <f t="shared" ref="W9:W19" si="4">SUM(T9:V9)</f>
        <v>2000</v>
      </c>
      <c r="X9" s="113">
        <v>0</v>
      </c>
      <c r="Y9" s="113">
        <v>2200</v>
      </c>
      <c r="Z9" s="113"/>
      <c r="AA9" s="148">
        <f t="shared" ref="AA9:AA19" si="5">SUM(X9:Z9)</f>
        <v>2200</v>
      </c>
      <c r="AB9" s="113">
        <v>0</v>
      </c>
      <c r="AC9" s="113">
        <v>0</v>
      </c>
      <c r="AD9" s="113"/>
      <c r="AE9" s="148">
        <f t="shared" ref="AE9:AE19" si="6">SUM(AB9:AD9)</f>
        <v>0</v>
      </c>
      <c r="AF9" s="113">
        <v>0</v>
      </c>
      <c r="AG9" s="113">
        <v>268</v>
      </c>
      <c r="AH9" s="113"/>
      <c r="AI9" s="148">
        <f t="shared" ref="AI9:AI19" si="7">SUM(AF9:AH9)</f>
        <v>268</v>
      </c>
      <c r="AJ9" s="113">
        <v>0</v>
      </c>
      <c r="AK9" s="113">
        <v>264</v>
      </c>
      <c r="AL9" s="113"/>
      <c r="AM9" s="148">
        <f t="shared" ref="AM9:AM19" si="8">SUM(AJ9:AL9)</f>
        <v>264</v>
      </c>
      <c r="AN9" s="111">
        <v>0</v>
      </c>
      <c r="AO9" s="113">
        <v>500</v>
      </c>
      <c r="AP9" s="113"/>
      <c r="AQ9" s="148">
        <f t="shared" ref="AQ9:AQ19" si="9">SUM(AN9:AP9)</f>
        <v>500</v>
      </c>
      <c r="AR9" s="111">
        <v>0</v>
      </c>
      <c r="AS9" s="113">
        <v>0</v>
      </c>
      <c r="AT9" s="113">
        <v>0</v>
      </c>
      <c r="AU9" s="148">
        <f t="shared" ref="AU9:AU19" si="10">SUM(AR9:AT9)</f>
        <v>0</v>
      </c>
    </row>
    <row r="10" spans="1:47" ht="15.75">
      <c r="A10" s="95">
        <v>5</v>
      </c>
      <c r="B10" s="147" t="s">
        <v>40</v>
      </c>
      <c r="C10" s="112"/>
      <c r="D10" s="111">
        <v>1886</v>
      </c>
      <c r="E10" s="113">
        <v>15075</v>
      </c>
      <c r="F10" s="113"/>
      <c r="G10" s="148">
        <f t="shared" si="0"/>
        <v>16961</v>
      </c>
      <c r="H10" s="113">
        <v>0</v>
      </c>
      <c r="I10" s="113">
        <v>6000</v>
      </c>
      <c r="J10" s="113"/>
      <c r="K10" s="148">
        <f t="shared" si="1"/>
        <v>6000</v>
      </c>
      <c r="L10" s="113">
        <f>50+50</f>
        <v>100</v>
      </c>
      <c r="M10" s="113">
        <v>675</v>
      </c>
      <c r="N10" s="113"/>
      <c r="O10" s="148">
        <f t="shared" si="2"/>
        <v>775</v>
      </c>
      <c r="P10" s="113"/>
      <c r="Q10" s="113">
        <v>1150</v>
      </c>
      <c r="R10" s="113"/>
      <c r="S10" s="148">
        <f t="shared" si="3"/>
        <v>1150</v>
      </c>
      <c r="T10" s="113">
        <f>90+100</f>
        <v>190</v>
      </c>
      <c r="U10" s="113">
        <v>800</v>
      </c>
      <c r="V10" s="113"/>
      <c r="W10" s="148">
        <f t="shared" si="4"/>
        <v>990</v>
      </c>
      <c r="X10" s="113">
        <v>50</v>
      </c>
      <c r="Y10" s="113">
        <v>850</v>
      </c>
      <c r="Z10" s="113"/>
      <c r="AA10" s="148">
        <f t="shared" si="5"/>
        <v>900</v>
      </c>
      <c r="AB10" s="113">
        <v>800</v>
      </c>
      <c r="AC10" s="113">
        <v>3970</v>
      </c>
      <c r="AD10" s="113"/>
      <c r="AE10" s="148">
        <f t="shared" si="6"/>
        <v>4770</v>
      </c>
      <c r="AF10" s="113">
        <v>0</v>
      </c>
      <c r="AG10" s="113">
        <v>1390</v>
      </c>
      <c r="AH10" s="113"/>
      <c r="AI10" s="148">
        <f t="shared" si="7"/>
        <v>1390</v>
      </c>
      <c r="AJ10" s="113">
        <v>15</v>
      </c>
      <c r="AK10" s="113">
        <v>840</v>
      </c>
      <c r="AL10" s="113"/>
      <c r="AM10" s="148">
        <f t="shared" si="8"/>
        <v>855</v>
      </c>
      <c r="AN10" s="111">
        <f>755+149</f>
        <v>904</v>
      </c>
      <c r="AO10" s="113">
        <v>2000</v>
      </c>
      <c r="AP10" s="113"/>
      <c r="AQ10" s="148">
        <f t="shared" si="9"/>
        <v>2904</v>
      </c>
      <c r="AR10" s="111">
        <f>50+534</f>
        <v>584</v>
      </c>
      <c r="AS10" s="113">
        <f>1574+3000</f>
        <v>4574</v>
      </c>
      <c r="AT10" s="113">
        <v>0</v>
      </c>
      <c r="AU10" s="148">
        <f t="shared" si="10"/>
        <v>5158</v>
      </c>
    </row>
    <row r="11" spans="1:47" ht="15.75">
      <c r="A11" s="149">
        <v>6</v>
      </c>
      <c r="B11" s="147" t="s">
        <v>41</v>
      </c>
      <c r="C11" s="112"/>
      <c r="D11" s="111">
        <v>275</v>
      </c>
      <c r="E11" s="113">
        <v>2000</v>
      </c>
      <c r="F11" s="113"/>
      <c r="G11" s="148">
        <f t="shared" si="0"/>
        <v>2275</v>
      </c>
      <c r="H11" s="113">
        <v>71</v>
      </c>
      <c r="I11" s="113">
        <v>2000</v>
      </c>
      <c r="J11" s="113"/>
      <c r="K11" s="148">
        <f t="shared" si="1"/>
        <v>2071</v>
      </c>
      <c r="L11" s="113"/>
      <c r="M11" s="113">
        <v>260</v>
      </c>
      <c r="N11" s="113"/>
      <c r="O11" s="148">
        <f t="shared" si="2"/>
        <v>260</v>
      </c>
      <c r="P11" s="113"/>
      <c r="Q11" s="113">
        <v>510</v>
      </c>
      <c r="R11" s="113"/>
      <c r="S11" s="148">
        <f t="shared" si="3"/>
        <v>510</v>
      </c>
      <c r="T11" s="113">
        <v>0</v>
      </c>
      <c r="U11" s="113">
        <v>0</v>
      </c>
      <c r="V11" s="113"/>
      <c r="W11" s="148">
        <f t="shared" si="4"/>
        <v>0</v>
      </c>
      <c r="X11" s="113"/>
      <c r="Y11" s="113">
        <v>0</v>
      </c>
      <c r="Z11" s="113"/>
      <c r="AA11" s="148">
        <f t="shared" si="5"/>
        <v>0</v>
      </c>
      <c r="AB11" s="113"/>
      <c r="AC11" s="113">
        <v>800</v>
      </c>
      <c r="AD11" s="113"/>
      <c r="AE11" s="148">
        <f t="shared" si="6"/>
        <v>800</v>
      </c>
      <c r="AF11" s="113">
        <v>0</v>
      </c>
      <c r="AG11" s="113">
        <v>0</v>
      </c>
      <c r="AH11" s="113"/>
      <c r="AI11" s="148">
        <f t="shared" si="7"/>
        <v>0</v>
      </c>
      <c r="AJ11" s="113">
        <v>0</v>
      </c>
      <c r="AK11" s="113"/>
      <c r="AL11" s="113"/>
      <c r="AM11" s="148">
        <f t="shared" si="8"/>
        <v>0</v>
      </c>
      <c r="AN11" s="111"/>
      <c r="AO11" s="113">
        <v>100</v>
      </c>
      <c r="AP11" s="113"/>
      <c r="AQ11" s="148">
        <f t="shared" si="9"/>
        <v>100</v>
      </c>
      <c r="AR11" s="111">
        <v>0</v>
      </c>
      <c r="AS11" s="113">
        <v>0</v>
      </c>
      <c r="AT11" s="113">
        <v>0</v>
      </c>
      <c r="AU11" s="148">
        <f t="shared" si="10"/>
        <v>0</v>
      </c>
    </row>
    <row r="12" spans="1:47" ht="15.75">
      <c r="A12" s="95">
        <v>7</v>
      </c>
      <c r="B12" s="147" t="s">
        <v>42</v>
      </c>
      <c r="C12" s="112"/>
      <c r="D12" s="111">
        <v>0</v>
      </c>
      <c r="E12" s="113">
        <v>210</v>
      </c>
      <c r="F12" s="113"/>
      <c r="G12" s="148">
        <f t="shared" si="0"/>
        <v>210</v>
      </c>
      <c r="H12" s="113">
        <v>20</v>
      </c>
      <c r="I12" s="113">
        <v>19539</v>
      </c>
      <c r="J12" s="113"/>
      <c r="K12" s="148">
        <f t="shared" si="1"/>
        <v>19559</v>
      </c>
      <c r="L12" s="113"/>
      <c r="M12" s="113">
        <v>27952</v>
      </c>
      <c r="N12" s="113"/>
      <c r="O12" s="148">
        <f t="shared" si="2"/>
        <v>27952</v>
      </c>
      <c r="P12" s="113"/>
      <c r="Q12" s="113">
        <v>0</v>
      </c>
      <c r="R12" s="113"/>
      <c r="S12" s="148">
        <f t="shared" si="3"/>
        <v>0</v>
      </c>
      <c r="T12" s="113">
        <v>0</v>
      </c>
      <c r="U12" s="113">
        <v>2000</v>
      </c>
      <c r="V12" s="113"/>
      <c r="W12" s="148">
        <f t="shared" si="4"/>
        <v>2000</v>
      </c>
      <c r="X12" s="113"/>
      <c r="Y12" s="113">
        <v>2000</v>
      </c>
      <c r="Z12" s="113"/>
      <c r="AA12" s="148">
        <f t="shared" si="5"/>
        <v>2000</v>
      </c>
      <c r="AB12" s="113"/>
      <c r="AC12" s="113">
        <v>1800</v>
      </c>
      <c r="AD12" s="113"/>
      <c r="AE12" s="148">
        <f t="shared" si="6"/>
        <v>1800</v>
      </c>
      <c r="AF12" s="113">
        <v>0</v>
      </c>
      <c r="AG12" s="113">
        <v>1470</v>
      </c>
      <c r="AH12" s="113"/>
      <c r="AI12" s="148">
        <f t="shared" si="7"/>
        <v>1470</v>
      </c>
      <c r="AJ12" s="113">
        <v>0</v>
      </c>
      <c r="AK12" s="113">
        <v>12340</v>
      </c>
      <c r="AL12" s="113"/>
      <c r="AM12" s="148">
        <f t="shared" si="8"/>
        <v>12340</v>
      </c>
      <c r="AN12" s="111"/>
      <c r="AO12" s="113">
        <v>1000</v>
      </c>
      <c r="AP12" s="113"/>
      <c r="AQ12" s="148">
        <f t="shared" si="9"/>
        <v>1000</v>
      </c>
      <c r="AR12" s="111">
        <v>70</v>
      </c>
      <c r="AS12" s="113">
        <v>1000</v>
      </c>
      <c r="AT12" s="113">
        <v>0</v>
      </c>
      <c r="AU12" s="148">
        <f t="shared" si="10"/>
        <v>1070</v>
      </c>
    </row>
    <row r="13" spans="1:47" ht="15.75">
      <c r="A13" s="92">
        <v>8</v>
      </c>
      <c r="B13" s="147" t="s">
        <v>43</v>
      </c>
      <c r="C13" s="112"/>
      <c r="D13" s="111">
        <f>3585+260</f>
        <v>3845</v>
      </c>
      <c r="E13" s="113">
        <f>19584+1290</f>
        <v>20874</v>
      </c>
      <c r="F13" s="113"/>
      <c r="G13" s="148">
        <f t="shared" si="0"/>
        <v>24719</v>
      </c>
      <c r="H13" s="113">
        <v>700</v>
      </c>
      <c r="I13" s="113"/>
      <c r="J13" s="113"/>
      <c r="K13" s="148">
        <f t="shared" si="1"/>
        <v>700</v>
      </c>
      <c r="L13" s="113">
        <f>2008+400</f>
        <v>2408</v>
      </c>
      <c r="M13" s="113">
        <v>0</v>
      </c>
      <c r="N13" s="113"/>
      <c r="O13" s="148">
        <f t="shared" si="2"/>
        <v>2408</v>
      </c>
      <c r="P13" s="113">
        <f>500+400</f>
        <v>900</v>
      </c>
      <c r="Q13" s="113">
        <f>23526+500</f>
        <v>24026</v>
      </c>
      <c r="R13" s="113"/>
      <c r="S13" s="148">
        <f t="shared" si="3"/>
        <v>24926</v>
      </c>
      <c r="T13" s="113">
        <f>1000+350</f>
        <v>1350</v>
      </c>
      <c r="U13" s="113">
        <v>15000</v>
      </c>
      <c r="V13" s="113"/>
      <c r="W13" s="148">
        <f t="shared" si="4"/>
        <v>16350</v>
      </c>
      <c r="X13" s="113"/>
      <c r="Y13" s="113">
        <v>15500</v>
      </c>
      <c r="Z13" s="113"/>
      <c r="AA13" s="148">
        <f t="shared" si="5"/>
        <v>15500</v>
      </c>
      <c r="AB13" s="113"/>
      <c r="AC13" s="113">
        <f>15087+400</f>
        <v>15487</v>
      </c>
      <c r="AD13" s="113"/>
      <c r="AE13" s="148">
        <f t="shared" si="6"/>
        <v>15487</v>
      </c>
      <c r="AF13" s="113">
        <v>400</v>
      </c>
      <c r="AG13" s="113">
        <v>14775</v>
      </c>
      <c r="AH13" s="113"/>
      <c r="AI13" s="148">
        <f t="shared" si="7"/>
        <v>15175</v>
      </c>
      <c r="AJ13" s="113">
        <v>5500</v>
      </c>
      <c r="AK13" s="113">
        <v>12450</v>
      </c>
      <c r="AL13" s="113"/>
      <c r="AM13" s="148">
        <f t="shared" si="8"/>
        <v>17950</v>
      </c>
      <c r="AN13" s="111"/>
      <c r="AO13" s="113">
        <v>4000</v>
      </c>
      <c r="AP13" s="113"/>
      <c r="AQ13" s="148">
        <f t="shared" si="9"/>
        <v>4000</v>
      </c>
      <c r="AR13" s="111">
        <v>67</v>
      </c>
      <c r="AS13" s="113">
        <v>5000</v>
      </c>
      <c r="AT13" s="113">
        <v>0</v>
      </c>
      <c r="AU13" s="148">
        <f t="shared" si="10"/>
        <v>5067</v>
      </c>
    </row>
    <row r="14" spans="1:47" ht="15.75">
      <c r="A14" s="95">
        <v>9</v>
      </c>
      <c r="B14" s="147" t="s">
        <v>44</v>
      </c>
      <c r="C14" s="112"/>
      <c r="D14" s="111">
        <v>0</v>
      </c>
      <c r="E14" s="113">
        <v>0</v>
      </c>
      <c r="F14" s="113"/>
      <c r="G14" s="148">
        <f t="shared" si="0"/>
        <v>0</v>
      </c>
      <c r="H14" s="113">
        <v>0</v>
      </c>
      <c r="I14" s="113"/>
      <c r="J14" s="113"/>
      <c r="K14" s="148">
        <f t="shared" si="1"/>
        <v>0</v>
      </c>
      <c r="L14" s="113"/>
      <c r="M14" s="113">
        <v>775</v>
      </c>
      <c r="N14" s="113"/>
      <c r="O14" s="148">
        <f t="shared" si="2"/>
        <v>775</v>
      </c>
      <c r="P14" s="113"/>
      <c r="Q14" s="113"/>
      <c r="R14" s="113"/>
      <c r="S14" s="148">
        <f t="shared" si="3"/>
        <v>0</v>
      </c>
      <c r="T14" s="113"/>
      <c r="U14" s="113">
        <v>0</v>
      </c>
      <c r="V14" s="113"/>
      <c r="W14" s="148">
        <f t="shared" si="4"/>
        <v>0</v>
      </c>
      <c r="X14" s="113"/>
      <c r="Y14" s="113">
        <v>0</v>
      </c>
      <c r="Z14" s="113"/>
      <c r="AA14" s="148">
        <f t="shared" si="5"/>
        <v>0</v>
      </c>
      <c r="AB14" s="113"/>
      <c r="AC14" s="113">
        <v>0</v>
      </c>
      <c r="AD14" s="113"/>
      <c r="AE14" s="148">
        <f t="shared" si="6"/>
        <v>0</v>
      </c>
      <c r="AF14" s="113"/>
      <c r="AG14" s="113">
        <v>0</v>
      </c>
      <c r="AH14" s="113"/>
      <c r="AI14" s="148">
        <f t="shared" si="7"/>
        <v>0</v>
      </c>
      <c r="AJ14" s="113"/>
      <c r="AK14" s="113">
        <v>0</v>
      </c>
      <c r="AL14" s="113"/>
      <c r="AM14" s="148">
        <f t="shared" si="8"/>
        <v>0</v>
      </c>
      <c r="AN14" s="111"/>
      <c r="AO14" s="113">
        <v>0</v>
      </c>
      <c r="AP14" s="113"/>
      <c r="AQ14" s="148">
        <f t="shared" si="9"/>
        <v>0</v>
      </c>
      <c r="AR14" s="111">
        <v>0</v>
      </c>
      <c r="AS14" s="113">
        <v>0</v>
      </c>
      <c r="AT14" s="113">
        <v>0</v>
      </c>
      <c r="AU14" s="148">
        <f t="shared" si="10"/>
        <v>0</v>
      </c>
    </row>
    <row r="15" spans="1:47" ht="15.75">
      <c r="A15" s="95">
        <v>10</v>
      </c>
      <c r="B15" s="147" t="s">
        <v>45</v>
      </c>
      <c r="C15" s="112"/>
      <c r="D15" s="111">
        <v>1486</v>
      </c>
      <c r="E15" s="113">
        <v>3000</v>
      </c>
      <c r="F15" s="113"/>
      <c r="G15" s="148">
        <f t="shared" si="0"/>
        <v>4486</v>
      </c>
      <c r="H15" s="113">
        <v>25</v>
      </c>
      <c r="I15" s="113"/>
      <c r="J15" s="113"/>
      <c r="K15" s="148">
        <f t="shared" si="1"/>
        <v>25</v>
      </c>
      <c r="L15" s="113"/>
      <c r="M15" s="113">
        <v>1182</v>
      </c>
      <c r="N15" s="113"/>
      <c r="O15" s="148">
        <f t="shared" si="2"/>
        <v>1182</v>
      </c>
      <c r="P15" s="113">
        <v>100</v>
      </c>
      <c r="Q15" s="113">
        <v>1625</v>
      </c>
      <c r="R15" s="113"/>
      <c r="S15" s="148">
        <f t="shared" si="3"/>
        <v>1725</v>
      </c>
      <c r="T15" s="113"/>
      <c r="U15" s="113">
        <v>0</v>
      </c>
      <c r="V15" s="113"/>
      <c r="W15" s="148">
        <f t="shared" si="4"/>
        <v>0</v>
      </c>
      <c r="X15" s="113"/>
      <c r="Y15" s="113">
        <v>0</v>
      </c>
      <c r="Z15" s="113"/>
      <c r="AA15" s="148">
        <f t="shared" si="5"/>
        <v>0</v>
      </c>
      <c r="AB15" s="113"/>
      <c r="AC15" s="113">
        <v>2450</v>
      </c>
      <c r="AD15" s="113"/>
      <c r="AE15" s="148">
        <f t="shared" si="6"/>
        <v>2450</v>
      </c>
      <c r="AF15" s="113"/>
      <c r="AG15" s="113">
        <v>9391</v>
      </c>
      <c r="AH15" s="113"/>
      <c r="AI15" s="148">
        <f t="shared" si="7"/>
        <v>9391</v>
      </c>
      <c r="AJ15" s="113"/>
      <c r="AK15" s="113">
        <v>8425</v>
      </c>
      <c r="AL15" s="113"/>
      <c r="AM15" s="148">
        <f t="shared" si="8"/>
        <v>8425</v>
      </c>
      <c r="AN15" s="111"/>
      <c r="AO15" s="113">
        <v>4654</v>
      </c>
      <c r="AP15" s="113"/>
      <c r="AQ15" s="148">
        <f t="shared" si="9"/>
        <v>4654</v>
      </c>
      <c r="AR15" s="111">
        <v>791</v>
      </c>
      <c r="AS15" s="113">
        <f>13200+200</f>
        <v>13400</v>
      </c>
      <c r="AT15" s="113">
        <v>0</v>
      </c>
      <c r="AU15" s="148">
        <f t="shared" si="10"/>
        <v>14191</v>
      </c>
    </row>
    <row r="16" spans="1:47" ht="15.75">
      <c r="A16" s="95">
        <v>11</v>
      </c>
      <c r="B16" s="147" t="s">
        <v>46</v>
      </c>
      <c r="C16" s="112"/>
      <c r="D16" s="111">
        <v>4650</v>
      </c>
      <c r="E16" s="113">
        <v>525</v>
      </c>
      <c r="F16" s="113"/>
      <c r="G16" s="148">
        <f t="shared" si="0"/>
        <v>5175</v>
      </c>
      <c r="H16" s="113"/>
      <c r="I16" s="113">
        <v>300</v>
      </c>
      <c r="J16" s="113"/>
      <c r="K16" s="148">
        <f t="shared" si="1"/>
        <v>300</v>
      </c>
      <c r="L16" s="113"/>
      <c r="M16" s="113"/>
      <c r="N16" s="113"/>
      <c r="O16" s="148">
        <f t="shared" si="2"/>
        <v>0</v>
      </c>
      <c r="P16" s="113"/>
      <c r="Q16" s="113">
        <v>1182</v>
      </c>
      <c r="R16" s="113"/>
      <c r="S16" s="148">
        <f t="shared" si="3"/>
        <v>1182</v>
      </c>
      <c r="T16" s="113"/>
      <c r="U16" s="113">
        <v>1500</v>
      </c>
      <c r="V16" s="113"/>
      <c r="W16" s="148">
        <f t="shared" si="4"/>
        <v>1500</v>
      </c>
      <c r="X16" s="113"/>
      <c r="Y16" s="113">
        <v>1500</v>
      </c>
      <c r="Z16" s="113"/>
      <c r="AA16" s="148">
        <f t="shared" si="5"/>
        <v>1500</v>
      </c>
      <c r="AB16" s="113"/>
      <c r="AC16" s="113">
        <v>0</v>
      </c>
      <c r="AD16" s="113"/>
      <c r="AE16" s="148">
        <f t="shared" si="6"/>
        <v>0</v>
      </c>
      <c r="AF16" s="113"/>
      <c r="AG16" s="113"/>
      <c r="AH16" s="113"/>
      <c r="AI16" s="148">
        <f t="shared" si="7"/>
        <v>0</v>
      </c>
      <c r="AJ16" s="113"/>
      <c r="AK16" s="113"/>
      <c r="AL16" s="113"/>
      <c r="AM16" s="148">
        <f t="shared" si="8"/>
        <v>0</v>
      </c>
      <c r="AN16" s="111"/>
      <c r="AO16" s="113">
        <v>1000</v>
      </c>
      <c r="AP16" s="113"/>
      <c r="AQ16" s="148">
        <f t="shared" si="9"/>
        <v>1000</v>
      </c>
      <c r="AR16" s="111"/>
      <c r="AS16" s="113">
        <v>0</v>
      </c>
      <c r="AT16" s="113">
        <v>0</v>
      </c>
      <c r="AU16" s="148">
        <f t="shared" si="10"/>
        <v>0</v>
      </c>
    </row>
    <row r="17" spans="1:47" ht="15.75">
      <c r="A17" s="150">
        <v>12</v>
      </c>
      <c r="B17" s="151" t="s">
        <v>47</v>
      </c>
      <c r="C17" s="112"/>
      <c r="D17" s="111">
        <v>0</v>
      </c>
      <c r="E17" s="113">
        <v>0</v>
      </c>
      <c r="F17" s="113"/>
      <c r="G17" s="148">
        <f t="shared" si="0"/>
        <v>0</v>
      </c>
      <c r="H17" s="113"/>
      <c r="I17" s="113"/>
      <c r="J17" s="113"/>
      <c r="K17" s="148">
        <f t="shared" si="1"/>
        <v>0</v>
      </c>
      <c r="L17" s="113"/>
      <c r="M17" s="113"/>
      <c r="N17" s="113"/>
      <c r="O17" s="148">
        <f t="shared" si="2"/>
        <v>0</v>
      </c>
      <c r="P17" s="113"/>
      <c r="Q17" s="113"/>
      <c r="R17" s="113"/>
      <c r="S17" s="148">
        <f t="shared" si="3"/>
        <v>0</v>
      </c>
      <c r="T17" s="113"/>
      <c r="U17" s="113"/>
      <c r="V17" s="113"/>
      <c r="W17" s="148">
        <f t="shared" si="4"/>
        <v>0</v>
      </c>
      <c r="X17" s="113"/>
      <c r="Y17" s="113">
        <v>0</v>
      </c>
      <c r="Z17" s="113"/>
      <c r="AA17" s="148">
        <f t="shared" si="5"/>
        <v>0</v>
      </c>
      <c r="AB17" s="113"/>
      <c r="AC17" s="113">
        <v>0</v>
      </c>
      <c r="AD17" s="113"/>
      <c r="AE17" s="148">
        <f t="shared" si="6"/>
        <v>0</v>
      </c>
      <c r="AF17" s="113"/>
      <c r="AG17" s="113"/>
      <c r="AH17" s="113"/>
      <c r="AI17" s="148">
        <f t="shared" si="7"/>
        <v>0</v>
      </c>
      <c r="AJ17" s="113"/>
      <c r="AK17" s="113"/>
      <c r="AL17" s="113"/>
      <c r="AM17" s="148">
        <f t="shared" si="8"/>
        <v>0</v>
      </c>
      <c r="AN17" s="111"/>
      <c r="AO17" s="113">
        <v>0</v>
      </c>
      <c r="AP17" s="113"/>
      <c r="AQ17" s="148">
        <f t="shared" si="9"/>
        <v>0</v>
      </c>
      <c r="AR17" s="111"/>
      <c r="AS17" s="113">
        <v>0</v>
      </c>
      <c r="AT17" s="113">
        <v>0</v>
      </c>
      <c r="AU17" s="148">
        <f t="shared" si="10"/>
        <v>0</v>
      </c>
    </row>
    <row r="18" spans="1:47" ht="15.75">
      <c r="A18" s="150"/>
      <c r="B18" s="151" t="s">
        <v>48</v>
      </c>
      <c r="C18" s="112"/>
      <c r="D18" s="111">
        <v>0</v>
      </c>
      <c r="E18" s="113">
        <v>0</v>
      </c>
      <c r="F18" s="113"/>
      <c r="G18" s="148">
        <f t="shared" si="0"/>
        <v>0</v>
      </c>
      <c r="H18" s="113"/>
      <c r="I18" s="113"/>
      <c r="J18" s="113"/>
      <c r="K18" s="148">
        <f t="shared" si="1"/>
        <v>0</v>
      </c>
      <c r="L18" s="113"/>
      <c r="M18" s="113"/>
      <c r="N18" s="113"/>
      <c r="O18" s="148">
        <f t="shared" si="2"/>
        <v>0</v>
      </c>
      <c r="P18" s="113"/>
      <c r="Q18" s="113"/>
      <c r="R18" s="113"/>
      <c r="S18" s="148">
        <f t="shared" si="3"/>
        <v>0</v>
      </c>
      <c r="T18" s="113"/>
      <c r="U18" s="113"/>
      <c r="V18" s="113"/>
      <c r="W18" s="148">
        <f t="shared" si="4"/>
        <v>0</v>
      </c>
      <c r="X18" s="113"/>
      <c r="Y18" s="113">
        <v>0</v>
      </c>
      <c r="Z18" s="113"/>
      <c r="AA18" s="148">
        <f t="shared" si="5"/>
        <v>0</v>
      </c>
      <c r="AB18" s="113"/>
      <c r="AC18" s="113"/>
      <c r="AD18" s="113"/>
      <c r="AE18" s="148">
        <f t="shared" si="6"/>
        <v>0</v>
      </c>
      <c r="AF18" s="113"/>
      <c r="AG18" s="113"/>
      <c r="AH18" s="113"/>
      <c r="AI18" s="148">
        <f t="shared" si="7"/>
        <v>0</v>
      </c>
      <c r="AJ18" s="113"/>
      <c r="AK18" s="113"/>
      <c r="AL18" s="113"/>
      <c r="AM18" s="148">
        <f t="shared" si="8"/>
        <v>0</v>
      </c>
      <c r="AN18" s="111"/>
      <c r="AO18" s="113">
        <v>0</v>
      </c>
      <c r="AP18" s="113"/>
      <c r="AQ18" s="148">
        <f t="shared" si="9"/>
        <v>0</v>
      </c>
      <c r="AR18" s="111"/>
      <c r="AS18" s="113">
        <v>0</v>
      </c>
      <c r="AT18" s="113">
        <v>0</v>
      </c>
      <c r="AU18" s="148">
        <f t="shared" si="10"/>
        <v>0</v>
      </c>
    </row>
    <row r="19" spans="1:47" ht="16.5" thickBot="1">
      <c r="A19" s="82"/>
      <c r="B19" s="152"/>
      <c r="C19" s="134"/>
      <c r="D19" s="119">
        <v>0</v>
      </c>
      <c r="E19" s="125">
        <v>0</v>
      </c>
      <c r="F19" s="125"/>
      <c r="G19" s="148">
        <f t="shared" si="0"/>
        <v>0</v>
      </c>
      <c r="H19" s="125"/>
      <c r="I19" s="125"/>
      <c r="J19" s="125"/>
      <c r="K19" s="148">
        <f t="shared" si="1"/>
        <v>0</v>
      </c>
      <c r="L19" s="125"/>
      <c r="M19" s="125"/>
      <c r="N19" s="125"/>
      <c r="O19" s="148">
        <f t="shared" si="2"/>
        <v>0</v>
      </c>
      <c r="P19" s="125"/>
      <c r="Q19" s="125"/>
      <c r="R19" s="125"/>
      <c r="S19" s="148">
        <f t="shared" si="3"/>
        <v>0</v>
      </c>
      <c r="T19" s="125"/>
      <c r="U19" s="125"/>
      <c r="V19" s="125"/>
      <c r="W19" s="148">
        <f t="shared" si="4"/>
        <v>0</v>
      </c>
      <c r="X19" s="125"/>
      <c r="Y19" s="125">
        <v>0</v>
      </c>
      <c r="Z19" s="125"/>
      <c r="AA19" s="148">
        <f t="shared" si="5"/>
        <v>0</v>
      </c>
      <c r="AB19" s="125"/>
      <c r="AC19" s="125"/>
      <c r="AD19" s="125"/>
      <c r="AE19" s="148">
        <f t="shared" si="6"/>
        <v>0</v>
      </c>
      <c r="AF19" s="125"/>
      <c r="AG19" s="125"/>
      <c r="AH19" s="125"/>
      <c r="AI19" s="148">
        <f t="shared" si="7"/>
        <v>0</v>
      </c>
      <c r="AJ19" s="125"/>
      <c r="AK19" s="125"/>
      <c r="AL19" s="125"/>
      <c r="AM19" s="148">
        <f t="shared" si="8"/>
        <v>0</v>
      </c>
      <c r="AN19" s="119"/>
      <c r="AO19" s="125">
        <v>0</v>
      </c>
      <c r="AP19" s="125"/>
      <c r="AQ19" s="148">
        <f t="shared" si="9"/>
        <v>0</v>
      </c>
      <c r="AR19" s="119"/>
      <c r="AS19" s="125">
        <v>0</v>
      </c>
      <c r="AT19" s="125">
        <v>0</v>
      </c>
      <c r="AU19" s="148">
        <f t="shared" si="10"/>
        <v>0</v>
      </c>
    </row>
    <row r="20" spans="1:47" ht="16.5" thickBot="1">
      <c r="A20" s="38"/>
      <c r="B20" s="89" t="s">
        <v>6</v>
      </c>
      <c r="C20" s="139"/>
      <c r="D20" s="140">
        <f>SUM(D7:D19)</f>
        <v>18434</v>
      </c>
      <c r="E20" s="140">
        <f t="shared" ref="E20:AQ20" si="11">SUM(E7:E19)</f>
        <v>60449</v>
      </c>
      <c r="F20" s="140">
        <f t="shared" si="11"/>
        <v>0</v>
      </c>
      <c r="G20" s="140">
        <f t="shared" si="11"/>
        <v>78883</v>
      </c>
      <c r="H20" s="140">
        <f t="shared" si="11"/>
        <v>838</v>
      </c>
      <c r="I20" s="140">
        <f t="shared" si="11"/>
        <v>63139</v>
      </c>
      <c r="J20" s="140">
        <f t="shared" si="11"/>
        <v>0</v>
      </c>
      <c r="K20" s="140">
        <f t="shared" si="11"/>
        <v>63977</v>
      </c>
      <c r="L20" s="140">
        <f t="shared" si="11"/>
        <v>2708</v>
      </c>
      <c r="M20" s="140">
        <f t="shared" si="11"/>
        <v>45637</v>
      </c>
      <c r="N20" s="140">
        <f t="shared" si="11"/>
        <v>0</v>
      </c>
      <c r="O20" s="140">
        <f t="shared" si="11"/>
        <v>48345</v>
      </c>
      <c r="P20" s="140">
        <f t="shared" si="11"/>
        <v>1950</v>
      </c>
      <c r="Q20" s="140">
        <f t="shared" si="11"/>
        <v>45723</v>
      </c>
      <c r="R20" s="140">
        <f t="shared" si="11"/>
        <v>0</v>
      </c>
      <c r="S20" s="140">
        <f t="shared" si="11"/>
        <v>47673</v>
      </c>
      <c r="T20" s="140">
        <f t="shared" si="11"/>
        <v>2690</v>
      </c>
      <c r="U20" s="140">
        <f t="shared" si="11"/>
        <v>31700</v>
      </c>
      <c r="V20" s="140">
        <f t="shared" si="11"/>
        <v>0</v>
      </c>
      <c r="W20" s="140">
        <f t="shared" si="11"/>
        <v>34390</v>
      </c>
      <c r="X20" s="140">
        <f t="shared" si="11"/>
        <v>50</v>
      </c>
      <c r="Y20" s="140">
        <f t="shared" si="11"/>
        <v>36210</v>
      </c>
      <c r="Z20" s="140">
        <f t="shared" si="11"/>
        <v>0</v>
      </c>
      <c r="AA20" s="140">
        <f t="shared" si="11"/>
        <v>36260</v>
      </c>
      <c r="AB20" s="140">
        <f t="shared" si="11"/>
        <v>800</v>
      </c>
      <c r="AC20" s="140">
        <f t="shared" si="11"/>
        <v>36007</v>
      </c>
      <c r="AD20" s="140">
        <f t="shared" si="11"/>
        <v>0</v>
      </c>
      <c r="AE20" s="140">
        <f t="shared" si="11"/>
        <v>36807</v>
      </c>
      <c r="AF20" s="140">
        <f t="shared" si="11"/>
        <v>868</v>
      </c>
      <c r="AG20" s="140">
        <f t="shared" si="11"/>
        <v>42514</v>
      </c>
      <c r="AH20" s="140">
        <f t="shared" si="11"/>
        <v>0</v>
      </c>
      <c r="AI20" s="140">
        <f t="shared" si="11"/>
        <v>43382</v>
      </c>
      <c r="AJ20" s="140">
        <f t="shared" si="11"/>
        <v>5515</v>
      </c>
      <c r="AK20" s="140">
        <f t="shared" si="11"/>
        <v>50637</v>
      </c>
      <c r="AL20" s="140">
        <f t="shared" si="11"/>
        <v>0</v>
      </c>
      <c r="AM20" s="140">
        <f t="shared" si="11"/>
        <v>56152</v>
      </c>
      <c r="AN20" s="140">
        <f t="shared" si="11"/>
        <v>904</v>
      </c>
      <c r="AO20" s="140">
        <f t="shared" si="11"/>
        <v>22298</v>
      </c>
      <c r="AP20" s="140">
        <f t="shared" si="11"/>
        <v>0</v>
      </c>
      <c r="AQ20" s="140">
        <f t="shared" si="11"/>
        <v>23202</v>
      </c>
      <c r="AR20" s="140">
        <f>SUM(AR7:AR19)</f>
        <v>2951</v>
      </c>
      <c r="AS20" s="140">
        <f t="shared" ref="AS20:AU20" si="12">SUM(AS7:AS19)</f>
        <v>44226</v>
      </c>
      <c r="AT20" s="140">
        <f t="shared" si="12"/>
        <v>0</v>
      </c>
      <c r="AU20" s="140">
        <f t="shared" si="12"/>
        <v>47177</v>
      </c>
    </row>
    <row r="21" spans="1:47" ht="15.75">
      <c r="A21" s="92">
        <v>13</v>
      </c>
      <c r="B21" s="142" t="s">
        <v>49</v>
      </c>
      <c r="C21" s="143"/>
      <c r="D21" s="144">
        <v>230</v>
      </c>
      <c r="E21" s="145">
        <v>0</v>
      </c>
      <c r="F21" s="145"/>
      <c r="G21" s="146">
        <f>SUM(D21:F21)</f>
        <v>230</v>
      </c>
      <c r="H21" s="145"/>
      <c r="I21" s="153"/>
      <c r="J21" s="145"/>
      <c r="K21" s="146">
        <f>SUM(H21:J21)</f>
        <v>0</v>
      </c>
      <c r="L21" s="145"/>
      <c r="M21" s="145"/>
      <c r="N21" s="145"/>
      <c r="O21" s="146">
        <f>SUM(L21:N21)</f>
        <v>0</v>
      </c>
      <c r="P21" s="145"/>
      <c r="Q21" s="145"/>
      <c r="R21" s="145"/>
      <c r="S21" s="146">
        <f>SUM(P21:R21)</f>
        <v>0</v>
      </c>
      <c r="T21" s="145"/>
      <c r="U21" s="145">
        <v>1200</v>
      </c>
      <c r="V21" s="145"/>
      <c r="W21" s="146">
        <f>SUM(T21:V21)</f>
        <v>1200</v>
      </c>
      <c r="X21" s="145"/>
      <c r="Y21" s="145">
        <v>1200</v>
      </c>
      <c r="Z21" s="145"/>
      <c r="AA21" s="146">
        <f>SUM(X21:Z21)</f>
        <v>1200</v>
      </c>
      <c r="AB21" s="145"/>
      <c r="AC21" s="145">
        <v>0</v>
      </c>
      <c r="AD21" s="145"/>
      <c r="AE21" s="146">
        <f>SUM(AB21:AD21)</f>
        <v>0</v>
      </c>
      <c r="AF21" s="145"/>
      <c r="AG21" s="145"/>
      <c r="AH21" s="145"/>
      <c r="AI21" s="146">
        <f>SUM(AF21:AH21)</f>
        <v>0</v>
      </c>
      <c r="AJ21" s="145"/>
      <c r="AK21" s="145"/>
      <c r="AL21" s="145"/>
      <c r="AM21" s="146">
        <f>SUM(AJ21:AL21)</f>
        <v>0</v>
      </c>
      <c r="AN21" s="144"/>
      <c r="AO21" s="145">
        <v>0</v>
      </c>
      <c r="AP21" s="145"/>
      <c r="AQ21" s="146">
        <f>SUM(AN21:AP21)</f>
        <v>0</v>
      </c>
      <c r="AR21" s="144">
        <v>0</v>
      </c>
      <c r="AS21" s="145"/>
      <c r="AT21" s="145">
        <v>0</v>
      </c>
      <c r="AU21" s="146">
        <f>SUM(AR21:AT21)</f>
        <v>0</v>
      </c>
    </row>
    <row r="22" spans="1:47" ht="15.75">
      <c r="A22" s="95">
        <v>14</v>
      </c>
      <c r="B22" s="147" t="s">
        <v>50</v>
      </c>
      <c r="C22" s="112"/>
      <c r="D22" s="111"/>
      <c r="E22" s="113">
        <v>150</v>
      </c>
      <c r="F22" s="113"/>
      <c r="G22" s="148">
        <f>SUM(D22:F22)</f>
        <v>150</v>
      </c>
      <c r="H22" s="113"/>
      <c r="I22" s="114">
        <v>1000</v>
      </c>
      <c r="J22" s="113"/>
      <c r="K22" s="148">
        <f>SUM(H22:J22)</f>
        <v>1000</v>
      </c>
      <c r="L22" s="113"/>
      <c r="M22" s="113">
        <v>560</v>
      </c>
      <c r="N22" s="113"/>
      <c r="O22" s="148">
        <f>SUM(L22:N22)</f>
        <v>560</v>
      </c>
      <c r="P22" s="113"/>
      <c r="Q22" s="113">
        <v>560</v>
      </c>
      <c r="R22" s="113"/>
      <c r="S22" s="148">
        <f>SUM(P22:R22)</f>
        <v>560</v>
      </c>
      <c r="T22" s="113"/>
      <c r="U22" s="113">
        <v>2500</v>
      </c>
      <c r="V22" s="113"/>
      <c r="W22" s="148">
        <f>SUM(T22:V22)</f>
        <v>2500</v>
      </c>
      <c r="X22" s="113"/>
      <c r="Y22" s="113">
        <v>2500</v>
      </c>
      <c r="Z22" s="113"/>
      <c r="AA22" s="148">
        <f>SUM(X22:Z22)</f>
        <v>2500</v>
      </c>
      <c r="AB22" s="113"/>
      <c r="AC22" s="113">
        <v>1500</v>
      </c>
      <c r="AD22" s="113"/>
      <c r="AE22" s="148">
        <f>SUM(AB22:AD22)</f>
        <v>1500</v>
      </c>
      <c r="AF22" s="113"/>
      <c r="AG22" s="113"/>
      <c r="AH22" s="113"/>
      <c r="AI22" s="148">
        <f>SUM(AF22:AH22)</f>
        <v>0</v>
      </c>
      <c r="AJ22" s="113">
        <v>5150</v>
      </c>
      <c r="AK22" s="113">
        <v>1800</v>
      </c>
      <c r="AL22" s="113"/>
      <c r="AM22" s="148">
        <f>SUM(AJ22:AL22)</f>
        <v>6950</v>
      </c>
      <c r="AN22" s="111">
        <f>622+68</f>
        <v>690</v>
      </c>
      <c r="AO22" s="113">
        <v>1000</v>
      </c>
      <c r="AP22" s="113"/>
      <c r="AQ22" s="148">
        <f>SUM(AN22:AP22)</f>
        <v>1690</v>
      </c>
      <c r="AR22" s="111">
        <f>238+238</f>
        <v>476</v>
      </c>
      <c r="AS22" s="113"/>
      <c r="AT22" s="113">
        <v>0</v>
      </c>
      <c r="AU22" s="148">
        <f>SUM(AR22:AT22)</f>
        <v>476</v>
      </c>
    </row>
    <row r="23" spans="1:47" ht="15.75">
      <c r="A23" s="95">
        <v>15</v>
      </c>
      <c r="B23" s="147" t="s">
        <v>51</v>
      </c>
      <c r="C23" s="112"/>
      <c r="D23" s="111"/>
      <c r="E23" s="113">
        <v>500</v>
      </c>
      <c r="F23" s="113"/>
      <c r="G23" s="148">
        <f t="shared" ref="G23:G26" si="13">SUM(D23:F23)</f>
        <v>500</v>
      </c>
      <c r="H23" s="113"/>
      <c r="I23" s="114">
        <v>7000</v>
      </c>
      <c r="J23" s="113"/>
      <c r="K23" s="148">
        <f t="shared" ref="K23:K26" si="14">SUM(H23:J23)</f>
        <v>7000</v>
      </c>
      <c r="L23" s="113"/>
      <c r="M23" s="113"/>
      <c r="N23" s="113"/>
      <c r="O23" s="148">
        <f t="shared" ref="O23:O26" si="15">SUM(L23:N23)</f>
        <v>0</v>
      </c>
      <c r="P23" s="113"/>
      <c r="Q23" s="113"/>
      <c r="R23" s="113"/>
      <c r="S23" s="148">
        <f t="shared" ref="S23:S26" si="16">SUM(P23:R23)</f>
        <v>0</v>
      </c>
      <c r="T23" s="113"/>
      <c r="U23" s="113"/>
      <c r="V23" s="113"/>
      <c r="W23" s="148">
        <f t="shared" ref="W23:W26" si="17">SUM(T23:V23)</f>
        <v>0</v>
      </c>
      <c r="X23" s="113"/>
      <c r="Y23" s="113"/>
      <c r="Z23" s="113"/>
      <c r="AA23" s="148">
        <f t="shared" ref="AA23:AA26" si="18">SUM(X23:Z23)</f>
        <v>0</v>
      </c>
      <c r="AB23" s="113"/>
      <c r="AC23" s="113"/>
      <c r="AD23" s="113"/>
      <c r="AE23" s="148">
        <f t="shared" ref="AE23:AE26" si="19">SUM(AB23:AD23)</f>
        <v>0</v>
      </c>
      <c r="AF23" s="113"/>
      <c r="AG23" s="113">
        <v>1600</v>
      </c>
      <c r="AH23" s="113"/>
      <c r="AI23" s="148">
        <f t="shared" ref="AI23:AI26" si="20">SUM(AF23:AH23)</f>
        <v>1600</v>
      </c>
      <c r="AJ23" s="113"/>
      <c r="AK23" s="113">
        <v>1600</v>
      </c>
      <c r="AL23" s="113"/>
      <c r="AM23" s="148">
        <f t="shared" ref="AM23:AM26" si="21">SUM(AJ23:AL23)</f>
        <v>1600</v>
      </c>
      <c r="AN23" s="111">
        <v>0</v>
      </c>
      <c r="AO23" s="113">
        <v>240</v>
      </c>
      <c r="AP23" s="113"/>
      <c r="AQ23" s="148">
        <f t="shared" ref="AQ23:AQ26" si="22">SUM(AN23:AP23)</f>
        <v>240</v>
      </c>
      <c r="AR23" s="111">
        <v>0</v>
      </c>
      <c r="AS23" s="113"/>
      <c r="AT23" s="113">
        <v>0</v>
      </c>
      <c r="AU23" s="148">
        <f t="shared" ref="AU23:AU26" si="23">SUM(AR23:AT23)</f>
        <v>0</v>
      </c>
    </row>
    <row r="24" spans="1:47" ht="15.75">
      <c r="A24" s="95">
        <v>16</v>
      </c>
      <c r="B24" s="147" t="s">
        <v>52</v>
      </c>
      <c r="C24" s="112"/>
      <c r="D24" s="111"/>
      <c r="E24" s="113"/>
      <c r="F24" s="113"/>
      <c r="G24" s="148">
        <f t="shared" si="13"/>
        <v>0</v>
      </c>
      <c r="H24" s="113"/>
      <c r="I24" s="114"/>
      <c r="J24" s="113"/>
      <c r="K24" s="148">
        <f t="shared" si="14"/>
        <v>0</v>
      </c>
      <c r="L24" s="113"/>
      <c r="M24" s="113"/>
      <c r="N24" s="113"/>
      <c r="O24" s="148">
        <f t="shared" si="15"/>
        <v>0</v>
      </c>
      <c r="P24" s="113"/>
      <c r="Q24" s="113"/>
      <c r="R24" s="113"/>
      <c r="S24" s="148">
        <f t="shared" si="16"/>
        <v>0</v>
      </c>
      <c r="T24" s="113"/>
      <c r="U24" s="113"/>
      <c r="V24" s="113"/>
      <c r="W24" s="148">
        <f t="shared" si="17"/>
        <v>0</v>
      </c>
      <c r="X24" s="113"/>
      <c r="Y24" s="113"/>
      <c r="Z24" s="113"/>
      <c r="AA24" s="148">
        <f t="shared" si="18"/>
        <v>0</v>
      </c>
      <c r="AB24" s="113"/>
      <c r="AC24" s="113"/>
      <c r="AD24" s="113"/>
      <c r="AE24" s="148">
        <f t="shared" si="19"/>
        <v>0</v>
      </c>
      <c r="AF24" s="113"/>
      <c r="AG24" s="113"/>
      <c r="AH24" s="113"/>
      <c r="AI24" s="148">
        <f t="shared" si="20"/>
        <v>0</v>
      </c>
      <c r="AJ24" s="113"/>
      <c r="AK24" s="113"/>
      <c r="AL24" s="113"/>
      <c r="AM24" s="148">
        <f t="shared" si="21"/>
        <v>0</v>
      </c>
      <c r="AN24" s="111"/>
      <c r="AO24" s="113"/>
      <c r="AP24" s="113"/>
      <c r="AQ24" s="148">
        <f t="shared" si="22"/>
        <v>0</v>
      </c>
      <c r="AR24" s="111">
        <v>0</v>
      </c>
      <c r="AS24" s="113"/>
      <c r="AT24" s="113">
        <v>0</v>
      </c>
      <c r="AU24" s="148">
        <f t="shared" si="23"/>
        <v>0</v>
      </c>
    </row>
    <row r="25" spans="1:47" ht="15.75">
      <c r="A25" s="97">
        <v>17</v>
      </c>
      <c r="B25" s="151" t="s">
        <v>53</v>
      </c>
      <c r="C25" s="112"/>
      <c r="D25" s="111"/>
      <c r="E25" s="113"/>
      <c r="F25" s="113"/>
      <c r="G25" s="148">
        <f t="shared" si="13"/>
        <v>0</v>
      </c>
      <c r="H25" s="113"/>
      <c r="I25" s="114"/>
      <c r="J25" s="113"/>
      <c r="K25" s="148">
        <f t="shared" si="14"/>
        <v>0</v>
      </c>
      <c r="L25" s="113"/>
      <c r="M25" s="113"/>
      <c r="N25" s="113"/>
      <c r="O25" s="148">
        <f t="shared" si="15"/>
        <v>0</v>
      </c>
      <c r="P25" s="113"/>
      <c r="Q25" s="113"/>
      <c r="R25" s="113"/>
      <c r="S25" s="148">
        <f t="shared" si="16"/>
        <v>0</v>
      </c>
      <c r="T25" s="113"/>
      <c r="U25" s="113"/>
      <c r="V25" s="113"/>
      <c r="W25" s="148">
        <f t="shared" si="17"/>
        <v>0</v>
      </c>
      <c r="X25" s="113"/>
      <c r="Y25" s="113"/>
      <c r="Z25" s="113"/>
      <c r="AA25" s="148">
        <f t="shared" si="18"/>
        <v>0</v>
      </c>
      <c r="AB25" s="113"/>
      <c r="AC25" s="113"/>
      <c r="AD25" s="113"/>
      <c r="AE25" s="148">
        <f t="shared" si="19"/>
        <v>0</v>
      </c>
      <c r="AF25" s="113"/>
      <c r="AG25" s="113"/>
      <c r="AH25" s="113"/>
      <c r="AI25" s="148">
        <f t="shared" si="20"/>
        <v>0</v>
      </c>
      <c r="AJ25" s="113"/>
      <c r="AK25" s="113"/>
      <c r="AL25" s="113"/>
      <c r="AM25" s="148">
        <f t="shared" si="21"/>
        <v>0</v>
      </c>
      <c r="AN25" s="111"/>
      <c r="AO25" s="113"/>
      <c r="AP25" s="113"/>
      <c r="AQ25" s="148">
        <f t="shared" si="22"/>
        <v>0</v>
      </c>
      <c r="AR25" s="111">
        <v>0</v>
      </c>
      <c r="AS25" s="113"/>
      <c r="AT25" s="113">
        <v>0</v>
      </c>
      <c r="AU25" s="148">
        <f t="shared" si="23"/>
        <v>0</v>
      </c>
    </row>
    <row r="26" spans="1:47" ht="16.5" thickBot="1">
      <c r="A26" s="104"/>
      <c r="B26" s="152"/>
      <c r="C26" s="134"/>
      <c r="D26" s="119"/>
      <c r="E26" s="125"/>
      <c r="F26" s="125"/>
      <c r="G26" s="148">
        <f t="shared" si="13"/>
        <v>0</v>
      </c>
      <c r="H26" s="125"/>
      <c r="I26" s="154"/>
      <c r="J26" s="125"/>
      <c r="K26" s="148">
        <f t="shared" si="14"/>
        <v>0</v>
      </c>
      <c r="L26" s="125"/>
      <c r="M26" s="125"/>
      <c r="N26" s="125"/>
      <c r="O26" s="148">
        <f t="shared" si="15"/>
        <v>0</v>
      </c>
      <c r="P26" s="125"/>
      <c r="Q26" s="125"/>
      <c r="R26" s="125"/>
      <c r="S26" s="148">
        <f t="shared" si="16"/>
        <v>0</v>
      </c>
      <c r="T26" s="125"/>
      <c r="U26" s="125"/>
      <c r="V26" s="125"/>
      <c r="W26" s="148">
        <f t="shared" si="17"/>
        <v>0</v>
      </c>
      <c r="X26" s="125"/>
      <c r="Y26" s="125"/>
      <c r="Z26" s="125"/>
      <c r="AA26" s="148">
        <f t="shared" si="18"/>
        <v>0</v>
      </c>
      <c r="AB26" s="125"/>
      <c r="AC26" s="125"/>
      <c r="AD26" s="125"/>
      <c r="AE26" s="148">
        <f t="shared" si="19"/>
        <v>0</v>
      </c>
      <c r="AF26" s="125"/>
      <c r="AG26" s="125"/>
      <c r="AH26" s="125"/>
      <c r="AI26" s="148">
        <f t="shared" si="20"/>
        <v>0</v>
      </c>
      <c r="AJ26" s="125"/>
      <c r="AK26" s="125"/>
      <c r="AL26" s="125"/>
      <c r="AM26" s="148">
        <f t="shared" si="21"/>
        <v>0</v>
      </c>
      <c r="AN26" s="119"/>
      <c r="AO26" s="125"/>
      <c r="AP26" s="125"/>
      <c r="AQ26" s="148">
        <f t="shared" si="22"/>
        <v>0</v>
      </c>
      <c r="AR26" s="119">
        <v>0</v>
      </c>
      <c r="AS26" s="125"/>
      <c r="AT26" s="125">
        <v>0</v>
      </c>
      <c r="AU26" s="148">
        <f t="shared" si="23"/>
        <v>0</v>
      </c>
    </row>
    <row r="27" spans="1:47" ht="16.5" thickBot="1">
      <c r="A27" s="38"/>
      <c r="B27" s="89" t="s">
        <v>54</v>
      </c>
      <c r="C27" s="139"/>
      <c r="D27" s="155">
        <f>SUM(D21:D26)</f>
        <v>230</v>
      </c>
      <c r="E27" s="155">
        <f t="shared" ref="E27:G27" si="24">SUM(E21:E26)</f>
        <v>650</v>
      </c>
      <c r="F27" s="155">
        <f t="shared" si="24"/>
        <v>0</v>
      </c>
      <c r="G27" s="155">
        <f t="shared" si="24"/>
        <v>880</v>
      </c>
      <c r="H27" s="155">
        <f>SUM(H21:H26)</f>
        <v>0</v>
      </c>
      <c r="I27" s="155">
        <f t="shared" ref="I27:K27" si="25">SUM(I21:I26)</f>
        <v>8000</v>
      </c>
      <c r="J27" s="155">
        <f t="shared" si="25"/>
        <v>0</v>
      </c>
      <c r="K27" s="155">
        <f t="shared" si="25"/>
        <v>8000</v>
      </c>
      <c r="L27" s="155">
        <f>SUM(L21:L26)</f>
        <v>0</v>
      </c>
      <c r="M27" s="155">
        <f t="shared" ref="M27:O27" si="26">SUM(M21:M26)</f>
        <v>560</v>
      </c>
      <c r="N27" s="155">
        <f t="shared" si="26"/>
        <v>0</v>
      </c>
      <c r="O27" s="155">
        <f t="shared" si="26"/>
        <v>560</v>
      </c>
      <c r="P27" s="155">
        <f>SUM(P21:P26)</f>
        <v>0</v>
      </c>
      <c r="Q27" s="155">
        <f t="shared" ref="Q27:S27" si="27">SUM(Q21:Q26)</f>
        <v>560</v>
      </c>
      <c r="R27" s="155">
        <f t="shared" si="27"/>
        <v>0</v>
      </c>
      <c r="S27" s="155">
        <f t="shared" si="27"/>
        <v>560</v>
      </c>
      <c r="T27" s="155">
        <f>SUM(T21:T26)</f>
        <v>0</v>
      </c>
      <c r="U27" s="155">
        <f t="shared" ref="U27:W27" si="28">SUM(U21:U26)</f>
        <v>3700</v>
      </c>
      <c r="V27" s="155">
        <f t="shared" si="28"/>
        <v>0</v>
      </c>
      <c r="W27" s="155">
        <f t="shared" si="28"/>
        <v>3700</v>
      </c>
      <c r="X27" s="155">
        <f>SUM(X21:X26)</f>
        <v>0</v>
      </c>
      <c r="Y27" s="155">
        <f t="shared" ref="Y27:AA27" si="29">SUM(Y21:Y26)</f>
        <v>3700</v>
      </c>
      <c r="Z27" s="155">
        <f t="shared" si="29"/>
        <v>0</v>
      </c>
      <c r="AA27" s="155">
        <f t="shared" si="29"/>
        <v>3700</v>
      </c>
      <c r="AB27" s="155">
        <f>SUM(AB21:AB26)</f>
        <v>0</v>
      </c>
      <c r="AC27" s="155">
        <f t="shared" ref="AC27:AE27" si="30">SUM(AC21:AC26)</f>
        <v>1500</v>
      </c>
      <c r="AD27" s="155">
        <f t="shared" si="30"/>
        <v>0</v>
      </c>
      <c r="AE27" s="155">
        <f t="shared" si="30"/>
        <v>1500</v>
      </c>
      <c r="AF27" s="155">
        <f>SUM(AF21:AF26)</f>
        <v>0</v>
      </c>
      <c r="AG27" s="155">
        <f t="shared" ref="AG27:AI27" si="31">SUM(AG21:AG26)</f>
        <v>1600</v>
      </c>
      <c r="AH27" s="155">
        <f t="shared" si="31"/>
        <v>0</v>
      </c>
      <c r="AI27" s="155">
        <f t="shared" si="31"/>
        <v>1600</v>
      </c>
      <c r="AJ27" s="155">
        <f>SUM(AJ21:AJ26)</f>
        <v>5150</v>
      </c>
      <c r="AK27" s="155">
        <f t="shared" ref="AK27:AM27" si="32">SUM(AK21:AK26)</f>
        <v>3400</v>
      </c>
      <c r="AL27" s="155">
        <f t="shared" si="32"/>
        <v>0</v>
      </c>
      <c r="AM27" s="155">
        <f t="shared" si="32"/>
        <v>8550</v>
      </c>
      <c r="AN27" s="155">
        <f>SUM(AN21:AN26)</f>
        <v>690</v>
      </c>
      <c r="AO27" s="155">
        <f t="shared" ref="AO27:AQ27" si="33">SUM(AO21:AO26)</f>
        <v>1240</v>
      </c>
      <c r="AP27" s="155">
        <f t="shared" si="33"/>
        <v>0</v>
      </c>
      <c r="AQ27" s="155">
        <f t="shared" si="33"/>
        <v>1930</v>
      </c>
      <c r="AR27" s="155">
        <f>SUM(AR21:AR26)</f>
        <v>476</v>
      </c>
      <c r="AS27" s="155">
        <f t="shared" ref="AS27:AU27" si="34">SUM(AS21:AS26)</f>
        <v>0</v>
      </c>
      <c r="AT27" s="155">
        <f t="shared" si="34"/>
        <v>0</v>
      </c>
      <c r="AU27" s="155">
        <f t="shared" si="34"/>
        <v>476</v>
      </c>
    </row>
    <row r="28" spans="1:47" ht="15.75">
      <c r="A28" s="92">
        <v>18</v>
      </c>
      <c r="B28" s="142" t="s">
        <v>55</v>
      </c>
      <c r="C28" s="143"/>
      <c r="D28" s="144"/>
      <c r="E28" s="145">
        <v>12250</v>
      </c>
      <c r="F28" s="145"/>
      <c r="G28" s="146">
        <f>SUM(D28:F28)</f>
        <v>12250</v>
      </c>
      <c r="H28" s="145"/>
      <c r="I28" s="145">
        <v>3790</v>
      </c>
      <c r="J28" s="145"/>
      <c r="K28" s="146">
        <f>SUM(H28:J28)</f>
        <v>3790</v>
      </c>
      <c r="L28" s="145"/>
      <c r="M28" s="145"/>
      <c r="N28" s="145"/>
      <c r="O28" s="146">
        <f>SUM(L28:N28)</f>
        <v>0</v>
      </c>
      <c r="P28" s="145"/>
      <c r="Q28" s="145">
        <v>3700</v>
      </c>
      <c r="R28" s="145"/>
      <c r="S28" s="146">
        <f>SUM(P28:R28)</f>
        <v>3700</v>
      </c>
      <c r="T28" s="145"/>
      <c r="U28" s="145">
        <v>3950</v>
      </c>
      <c r="V28" s="145"/>
      <c r="W28" s="146">
        <f>SUM(T28:V28)</f>
        <v>3950</v>
      </c>
      <c r="X28" s="145">
        <v>840</v>
      </c>
      <c r="Y28" s="145"/>
      <c r="Z28" s="145"/>
      <c r="AA28" s="146">
        <f>SUM(X28:Z28)</f>
        <v>840</v>
      </c>
      <c r="AB28" s="145"/>
      <c r="AC28" s="145">
        <v>1200</v>
      </c>
      <c r="AD28" s="145"/>
      <c r="AE28" s="146">
        <f>SUM(AB28:AD28)</f>
        <v>1200</v>
      </c>
      <c r="AF28" s="145">
        <v>1500</v>
      </c>
      <c r="AG28" s="145"/>
      <c r="AH28" s="145"/>
      <c r="AI28" s="146">
        <f>SUM(AF28:AH28)</f>
        <v>1500</v>
      </c>
      <c r="AJ28" s="145">
        <v>1200</v>
      </c>
      <c r="AK28" s="156"/>
      <c r="AL28" s="145"/>
      <c r="AM28" s="146">
        <f>SUM(AJ28:AL28)</f>
        <v>1200</v>
      </c>
      <c r="AN28" s="144">
        <v>1175</v>
      </c>
      <c r="AO28" s="145"/>
      <c r="AP28" s="145"/>
      <c r="AQ28" s="146">
        <f>SUM(AN28:AP28)</f>
        <v>1175</v>
      </c>
      <c r="AR28" s="144">
        <v>700</v>
      </c>
      <c r="AS28" s="145"/>
      <c r="AT28" s="145">
        <v>0</v>
      </c>
      <c r="AU28" s="146">
        <f>SUM(AR28:AT28)</f>
        <v>700</v>
      </c>
    </row>
    <row r="29" spans="1:47" ht="15.75">
      <c r="A29" s="95">
        <v>19</v>
      </c>
      <c r="B29" s="147" t="s">
        <v>56</v>
      </c>
      <c r="C29" s="112"/>
      <c r="D29" s="111"/>
      <c r="E29" s="113">
        <v>0</v>
      </c>
      <c r="F29" s="113"/>
      <c r="G29" s="148">
        <f>SUM(D29:F29)</f>
        <v>0</v>
      </c>
      <c r="H29" s="113"/>
      <c r="I29" s="113">
        <v>400</v>
      </c>
      <c r="J29" s="113"/>
      <c r="K29" s="148">
        <f>SUM(H29:J29)</f>
        <v>400</v>
      </c>
      <c r="L29" s="113"/>
      <c r="M29" s="113">
        <v>400</v>
      </c>
      <c r="N29" s="113"/>
      <c r="O29" s="148">
        <f>SUM(L29:N29)</f>
        <v>400</v>
      </c>
      <c r="P29" s="113"/>
      <c r="Q29" s="113">
        <v>0</v>
      </c>
      <c r="R29" s="113"/>
      <c r="S29" s="148">
        <f>SUM(P29:R29)</f>
        <v>0</v>
      </c>
      <c r="T29" s="113"/>
      <c r="U29" s="113">
        <v>0</v>
      </c>
      <c r="V29" s="113"/>
      <c r="W29" s="148">
        <f>SUM(T29:V29)</f>
        <v>0</v>
      </c>
      <c r="X29" s="113">
        <v>50</v>
      </c>
      <c r="Y29" s="113"/>
      <c r="Z29" s="113"/>
      <c r="AA29" s="148">
        <f>SUM(X29:Z29)</f>
        <v>50</v>
      </c>
      <c r="AB29" s="113"/>
      <c r="AC29" s="113">
        <v>100</v>
      </c>
      <c r="AD29" s="113"/>
      <c r="AE29" s="148">
        <f>SUM(AB29:AD29)</f>
        <v>100</v>
      </c>
      <c r="AF29" s="113">
        <v>100</v>
      </c>
      <c r="AG29" s="113"/>
      <c r="AH29" s="113"/>
      <c r="AI29" s="148">
        <f>SUM(AF29:AH29)</f>
        <v>100</v>
      </c>
      <c r="AJ29" s="113">
        <v>60</v>
      </c>
      <c r="AK29" s="157"/>
      <c r="AL29" s="113"/>
      <c r="AM29" s="148">
        <f>SUM(AJ29:AL29)</f>
        <v>60</v>
      </c>
      <c r="AN29" s="111"/>
      <c r="AO29" s="113"/>
      <c r="AP29" s="113"/>
      <c r="AQ29" s="148">
        <f>SUM(AN29:AP29)</f>
        <v>0</v>
      </c>
      <c r="AR29" s="111"/>
      <c r="AS29" s="113"/>
      <c r="AT29" s="113">
        <v>0</v>
      </c>
      <c r="AU29" s="148">
        <f>SUM(AR29:AT29)</f>
        <v>0</v>
      </c>
    </row>
    <row r="30" spans="1:47" ht="15.75">
      <c r="A30" s="95">
        <v>20</v>
      </c>
      <c r="B30" s="147" t="s">
        <v>57</v>
      </c>
      <c r="C30" s="112"/>
      <c r="D30" s="111"/>
      <c r="E30" s="113">
        <v>225</v>
      </c>
      <c r="F30" s="113"/>
      <c r="G30" s="148">
        <f t="shared" ref="G30:G46" si="35">SUM(D30:F30)</f>
        <v>225</v>
      </c>
      <c r="H30" s="113"/>
      <c r="I30" s="113">
        <v>330</v>
      </c>
      <c r="J30" s="113"/>
      <c r="K30" s="148">
        <f t="shared" ref="K30:K46" si="36">SUM(H30:J30)</f>
        <v>330</v>
      </c>
      <c r="L30" s="113"/>
      <c r="M30" s="113">
        <v>0</v>
      </c>
      <c r="N30" s="113"/>
      <c r="O30" s="148">
        <f t="shared" ref="O30:O46" si="37">SUM(L30:N30)</f>
        <v>0</v>
      </c>
      <c r="P30" s="113"/>
      <c r="Q30" s="113">
        <v>500</v>
      </c>
      <c r="R30" s="113"/>
      <c r="S30" s="148">
        <f t="shared" ref="S30:S46" si="38">SUM(P30:R30)</f>
        <v>500</v>
      </c>
      <c r="T30" s="113"/>
      <c r="U30" s="113">
        <v>200</v>
      </c>
      <c r="V30" s="113"/>
      <c r="W30" s="148">
        <f t="shared" ref="W30:W46" si="39">SUM(T30:V30)</f>
        <v>200</v>
      </c>
      <c r="X30" s="113"/>
      <c r="Y30" s="113"/>
      <c r="Z30" s="113"/>
      <c r="AA30" s="148">
        <f t="shared" ref="AA30:AA46" si="40">SUM(X30:Z30)</f>
        <v>0</v>
      </c>
      <c r="AB30" s="113"/>
      <c r="AC30" s="113">
        <v>400</v>
      </c>
      <c r="AD30" s="113"/>
      <c r="AE30" s="148">
        <f t="shared" ref="AE30:AE46" si="41">SUM(AB30:AD30)</f>
        <v>400</v>
      </c>
      <c r="AF30" s="113">
        <v>400</v>
      </c>
      <c r="AG30" s="113"/>
      <c r="AH30" s="113"/>
      <c r="AI30" s="148">
        <f t="shared" ref="AI30:AI46" si="42">SUM(AF30:AH30)</f>
        <v>400</v>
      </c>
      <c r="AJ30" s="113">
        <v>50</v>
      </c>
      <c r="AK30" s="157"/>
      <c r="AL30" s="113"/>
      <c r="AM30" s="148">
        <f t="shared" ref="AM30:AM46" si="43">SUM(AJ30:AL30)</f>
        <v>50</v>
      </c>
      <c r="AN30" s="111"/>
      <c r="AO30" s="113"/>
      <c r="AP30" s="113"/>
      <c r="AQ30" s="148">
        <f t="shared" ref="AQ30:AQ46" si="44">SUM(AN30:AP30)</f>
        <v>0</v>
      </c>
      <c r="AR30" s="111"/>
      <c r="AS30" s="113"/>
      <c r="AT30" s="113">
        <v>0</v>
      </c>
      <c r="AU30" s="148">
        <f t="shared" ref="AU30:AU46" si="45">SUM(AR30:AT30)</f>
        <v>0</v>
      </c>
    </row>
    <row r="31" spans="1:47" ht="15.75">
      <c r="A31" s="95">
        <v>21</v>
      </c>
      <c r="B31" s="147" t="s">
        <v>58</v>
      </c>
      <c r="C31" s="112"/>
      <c r="D31" s="111"/>
      <c r="E31" s="113">
        <v>0</v>
      </c>
      <c r="F31" s="113"/>
      <c r="G31" s="148">
        <f t="shared" si="35"/>
        <v>0</v>
      </c>
      <c r="H31" s="113"/>
      <c r="I31" s="113"/>
      <c r="J31" s="113"/>
      <c r="K31" s="148">
        <f t="shared" si="36"/>
        <v>0</v>
      </c>
      <c r="L31" s="113"/>
      <c r="M31" s="113">
        <v>200</v>
      </c>
      <c r="N31" s="113"/>
      <c r="O31" s="148">
        <f t="shared" si="37"/>
        <v>200</v>
      </c>
      <c r="P31" s="113"/>
      <c r="Q31" s="113">
        <v>200</v>
      </c>
      <c r="R31" s="113"/>
      <c r="S31" s="148">
        <f t="shared" si="38"/>
        <v>200</v>
      </c>
      <c r="T31" s="113"/>
      <c r="U31" s="113"/>
      <c r="V31" s="113"/>
      <c r="W31" s="148">
        <f t="shared" si="39"/>
        <v>0</v>
      </c>
      <c r="X31" s="113"/>
      <c r="Y31" s="113"/>
      <c r="Z31" s="113"/>
      <c r="AA31" s="148">
        <f t="shared" si="40"/>
        <v>0</v>
      </c>
      <c r="AB31" s="113"/>
      <c r="AC31" s="113"/>
      <c r="AD31" s="113"/>
      <c r="AE31" s="148">
        <f t="shared" si="41"/>
        <v>0</v>
      </c>
      <c r="AF31" s="113"/>
      <c r="AG31" s="113"/>
      <c r="AH31" s="113"/>
      <c r="AI31" s="148">
        <f t="shared" si="42"/>
        <v>0</v>
      </c>
      <c r="AJ31" s="113"/>
      <c r="AK31" s="157"/>
      <c r="AL31" s="113"/>
      <c r="AM31" s="148">
        <f t="shared" si="43"/>
        <v>0</v>
      </c>
      <c r="AN31" s="111"/>
      <c r="AO31" s="113"/>
      <c r="AP31" s="113"/>
      <c r="AQ31" s="148">
        <f t="shared" si="44"/>
        <v>0</v>
      </c>
      <c r="AR31" s="111"/>
      <c r="AS31" s="113"/>
      <c r="AT31" s="113">
        <v>0</v>
      </c>
      <c r="AU31" s="148">
        <f t="shared" si="45"/>
        <v>0</v>
      </c>
    </row>
    <row r="32" spans="1:47" ht="15.75">
      <c r="A32" s="95">
        <v>22</v>
      </c>
      <c r="B32" s="147" t="s">
        <v>59</v>
      </c>
      <c r="C32" s="112"/>
      <c r="D32" s="111"/>
      <c r="E32" s="113">
        <v>0</v>
      </c>
      <c r="F32" s="113"/>
      <c r="G32" s="148">
        <f t="shared" si="35"/>
        <v>0</v>
      </c>
      <c r="H32" s="113"/>
      <c r="I32" s="113"/>
      <c r="J32" s="113"/>
      <c r="K32" s="148">
        <f t="shared" si="36"/>
        <v>0</v>
      </c>
      <c r="L32" s="113"/>
      <c r="M32" s="113"/>
      <c r="N32" s="113"/>
      <c r="O32" s="148">
        <f t="shared" si="37"/>
        <v>0</v>
      </c>
      <c r="P32" s="113"/>
      <c r="Q32" s="113">
        <v>0</v>
      </c>
      <c r="R32" s="113"/>
      <c r="S32" s="148">
        <f t="shared" si="38"/>
        <v>0</v>
      </c>
      <c r="T32" s="113"/>
      <c r="U32" s="113"/>
      <c r="V32" s="113"/>
      <c r="W32" s="148">
        <f t="shared" si="39"/>
        <v>0</v>
      </c>
      <c r="X32" s="113"/>
      <c r="Y32" s="113"/>
      <c r="Z32" s="113"/>
      <c r="AA32" s="148">
        <f t="shared" si="40"/>
        <v>0</v>
      </c>
      <c r="AB32" s="113"/>
      <c r="AC32" s="113"/>
      <c r="AD32" s="113"/>
      <c r="AE32" s="148">
        <f t="shared" si="41"/>
        <v>0</v>
      </c>
      <c r="AF32" s="113"/>
      <c r="AG32" s="113"/>
      <c r="AH32" s="113"/>
      <c r="AI32" s="148">
        <f t="shared" si="42"/>
        <v>0</v>
      </c>
      <c r="AJ32" s="113"/>
      <c r="AK32" s="157"/>
      <c r="AL32" s="113"/>
      <c r="AM32" s="148">
        <f t="shared" si="43"/>
        <v>0</v>
      </c>
      <c r="AN32" s="111"/>
      <c r="AO32" s="113"/>
      <c r="AP32" s="113"/>
      <c r="AQ32" s="148">
        <f t="shared" si="44"/>
        <v>0</v>
      </c>
      <c r="AR32" s="111"/>
      <c r="AS32" s="113"/>
      <c r="AT32" s="113">
        <v>0</v>
      </c>
      <c r="AU32" s="148">
        <f t="shared" si="45"/>
        <v>0</v>
      </c>
    </row>
    <row r="33" spans="1:47" ht="15.75">
      <c r="A33" s="95">
        <v>23</v>
      </c>
      <c r="B33" s="147" t="s">
        <v>60</v>
      </c>
      <c r="C33" s="112"/>
      <c r="D33" s="111"/>
      <c r="E33" s="113">
        <v>75</v>
      </c>
      <c r="F33" s="113"/>
      <c r="G33" s="148">
        <f t="shared" si="35"/>
        <v>75</v>
      </c>
      <c r="H33" s="113"/>
      <c r="I33" s="113"/>
      <c r="J33" s="113"/>
      <c r="K33" s="148">
        <f t="shared" si="36"/>
        <v>0</v>
      </c>
      <c r="L33" s="113"/>
      <c r="M33" s="113"/>
      <c r="N33" s="113"/>
      <c r="O33" s="148">
        <f t="shared" si="37"/>
        <v>0</v>
      </c>
      <c r="P33" s="113"/>
      <c r="Q33" s="113">
        <v>100</v>
      </c>
      <c r="R33" s="113"/>
      <c r="S33" s="148">
        <f t="shared" si="38"/>
        <v>100</v>
      </c>
      <c r="T33" s="113"/>
      <c r="U33" s="113"/>
      <c r="V33" s="113"/>
      <c r="W33" s="148">
        <f t="shared" si="39"/>
        <v>0</v>
      </c>
      <c r="X33" s="113"/>
      <c r="Y33" s="113"/>
      <c r="Z33" s="113"/>
      <c r="AA33" s="148">
        <f t="shared" si="40"/>
        <v>0</v>
      </c>
      <c r="AB33" s="113"/>
      <c r="AC33" s="113"/>
      <c r="AD33" s="113"/>
      <c r="AE33" s="148">
        <f t="shared" si="41"/>
        <v>0</v>
      </c>
      <c r="AF33" s="113"/>
      <c r="AG33" s="113"/>
      <c r="AH33" s="113"/>
      <c r="AI33" s="148">
        <f t="shared" si="42"/>
        <v>0</v>
      </c>
      <c r="AJ33" s="113"/>
      <c r="AK33" s="157"/>
      <c r="AL33" s="113"/>
      <c r="AM33" s="148">
        <f t="shared" si="43"/>
        <v>0</v>
      </c>
      <c r="AN33" s="111"/>
      <c r="AO33" s="113"/>
      <c r="AP33" s="113"/>
      <c r="AQ33" s="148">
        <f t="shared" si="44"/>
        <v>0</v>
      </c>
      <c r="AR33" s="111"/>
      <c r="AS33" s="113"/>
      <c r="AT33" s="113">
        <v>0</v>
      </c>
      <c r="AU33" s="148">
        <f t="shared" si="45"/>
        <v>0</v>
      </c>
    </row>
    <row r="34" spans="1:47" ht="15.75">
      <c r="A34" s="95">
        <v>24</v>
      </c>
      <c r="B34" s="147" t="s">
        <v>48</v>
      </c>
      <c r="C34" s="112"/>
      <c r="D34" s="111"/>
      <c r="E34" s="113"/>
      <c r="F34" s="113"/>
      <c r="G34" s="148">
        <f t="shared" si="35"/>
        <v>0</v>
      </c>
      <c r="H34" s="113"/>
      <c r="I34" s="113"/>
      <c r="J34" s="113"/>
      <c r="K34" s="148">
        <f t="shared" si="36"/>
        <v>0</v>
      </c>
      <c r="L34" s="113"/>
      <c r="M34" s="113"/>
      <c r="N34" s="113"/>
      <c r="O34" s="148">
        <f t="shared" si="37"/>
        <v>0</v>
      </c>
      <c r="P34" s="113"/>
      <c r="Q34" s="113"/>
      <c r="R34" s="113"/>
      <c r="S34" s="148">
        <f t="shared" si="38"/>
        <v>0</v>
      </c>
      <c r="T34" s="113"/>
      <c r="U34" s="113"/>
      <c r="V34" s="113"/>
      <c r="W34" s="148">
        <f t="shared" si="39"/>
        <v>0</v>
      </c>
      <c r="X34" s="113"/>
      <c r="Y34" s="113"/>
      <c r="Z34" s="113"/>
      <c r="AA34" s="148">
        <f t="shared" si="40"/>
        <v>0</v>
      </c>
      <c r="AB34" s="113"/>
      <c r="AC34" s="113"/>
      <c r="AD34" s="113"/>
      <c r="AE34" s="148">
        <f t="shared" si="41"/>
        <v>0</v>
      </c>
      <c r="AF34" s="113"/>
      <c r="AG34" s="113"/>
      <c r="AH34" s="113"/>
      <c r="AI34" s="148">
        <f t="shared" si="42"/>
        <v>0</v>
      </c>
      <c r="AJ34" s="113"/>
      <c r="AK34" s="157"/>
      <c r="AL34" s="113"/>
      <c r="AM34" s="148">
        <f t="shared" si="43"/>
        <v>0</v>
      </c>
      <c r="AN34" s="111"/>
      <c r="AO34" s="113"/>
      <c r="AP34" s="113"/>
      <c r="AQ34" s="148">
        <f t="shared" si="44"/>
        <v>0</v>
      </c>
      <c r="AR34" s="111"/>
      <c r="AS34" s="113"/>
      <c r="AT34" s="113">
        <v>0</v>
      </c>
      <c r="AU34" s="148">
        <f t="shared" si="45"/>
        <v>0</v>
      </c>
    </row>
    <row r="35" spans="1:47" ht="15.75">
      <c r="A35" s="95">
        <v>25</v>
      </c>
      <c r="B35" s="147" t="s">
        <v>61</v>
      </c>
      <c r="C35" s="112"/>
      <c r="D35" s="111"/>
      <c r="E35" s="113"/>
      <c r="F35" s="113"/>
      <c r="G35" s="148">
        <f t="shared" si="35"/>
        <v>0</v>
      </c>
      <c r="H35" s="113"/>
      <c r="I35" s="113"/>
      <c r="J35" s="113"/>
      <c r="K35" s="148">
        <f t="shared" si="36"/>
        <v>0</v>
      </c>
      <c r="L35" s="113"/>
      <c r="M35" s="113"/>
      <c r="N35" s="113"/>
      <c r="O35" s="148">
        <f t="shared" si="37"/>
        <v>0</v>
      </c>
      <c r="P35" s="113"/>
      <c r="Q35" s="113"/>
      <c r="R35" s="113"/>
      <c r="S35" s="148">
        <f t="shared" si="38"/>
        <v>0</v>
      </c>
      <c r="T35" s="113"/>
      <c r="U35" s="113"/>
      <c r="V35" s="113"/>
      <c r="W35" s="148">
        <f t="shared" si="39"/>
        <v>0</v>
      </c>
      <c r="X35" s="113"/>
      <c r="Y35" s="113"/>
      <c r="Z35" s="113"/>
      <c r="AA35" s="148">
        <f t="shared" si="40"/>
        <v>0</v>
      </c>
      <c r="AB35" s="113"/>
      <c r="AC35" s="113"/>
      <c r="AD35" s="113"/>
      <c r="AE35" s="148">
        <f t="shared" si="41"/>
        <v>0</v>
      </c>
      <c r="AF35" s="113"/>
      <c r="AG35" s="113"/>
      <c r="AH35" s="113"/>
      <c r="AI35" s="148">
        <f t="shared" si="42"/>
        <v>0</v>
      </c>
      <c r="AJ35" s="113"/>
      <c r="AK35" s="157"/>
      <c r="AL35" s="113"/>
      <c r="AM35" s="148">
        <f t="shared" si="43"/>
        <v>0</v>
      </c>
      <c r="AN35" s="111"/>
      <c r="AO35" s="113"/>
      <c r="AP35" s="113"/>
      <c r="AQ35" s="148">
        <f t="shared" si="44"/>
        <v>0</v>
      </c>
      <c r="AR35" s="111"/>
      <c r="AS35" s="113"/>
      <c r="AT35" s="113">
        <v>0</v>
      </c>
      <c r="AU35" s="148">
        <f t="shared" si="45"/>
        <v>0</v>
      </c>
    </row>
    <row r="36" spans="1:47" ht="15.75">
      <c r="A36" s="95">
        <v>26</v>
      </c>
      <c r="B36" s="147" t="s">
        <v>62</v>
      </c>
      <c r="C36" s="112"/>
      <c r="D36" s="111"/>
      <c r="E36" s="113"/>
      <c r="F36" s="113"/>
      <c r="G36" s="148">
        <f t="shared" si="35"/>
        <v>0</v>
      </c>
      <c r="H36" s="113"/>
      <c r="I36" s="113"/>
      <c r="J36" s="113"/>
      <c r="K36" s="148">
        <f t="shared" si="36"/>
        <v>0</v>
      </c>
      <c r="L36" s="113"/>
      <c r="M36" s="113"/>
      <c r="N36" s="113"/>
      <c r="O36" s="148">
        <f t="shared" si="37"/>
        <v>0</v>
      </c>
      <c r="P36" s="113"/>
      <c r="Q36" s="113"/>
      <c r="R36" s="113"/>
      <c r="S36" s="148">
        <f t="shared" si="38"/>
        <v>0</v>
      </c>
      <c r="T36" s="113"/>
      <c r="U36" s="113"/>
      <c r="V36" s="113"/>
      <c r="W36" s="148">
        <f t="shared" si="39"/>
        <v>0</v>
      </c>
      <c r="X36" s="113"/>
      <c r="Y36" s="113"/>
      <c r="Z36" s="113"/>
      <c r="AA36" s="148">
        <f t="shared" si="40"/>
        <v>0</v>
      </c>
      <c r="AB36" s="113"/>
      <c r="AC36" s="113"/>
      <c r="AD36" s="113"/>
      <c r="AE36" s="148">
        <f t="shared" si="41"/>
        <v>0</v>
      </c>
      <c r="AF36" s="113"/>
      <c r="AG36" s="113"/>
      <c r="AH36" s="113"/>
      <c r="AI36" s="148">
        <f t="shared" si="42"/>
        <v>0</v>
      </c>
      <c r="AJ36" s="113"/>
      <c r="AK36" s="157"/>
      <c r="AL36" s="113"/>
      <c r="AM36" s="148">
        <f t="shared" si="43"/>
        <v>0</v>
      </c>
      <c r="AN36" s="111"/>
      <c r="AO36" s="113"/>
      <c r="AP36" s="113"/>
      <c r="AQ36" s="148">
        <f t="shared" si="44"/>
        <v>0</v>
      </c>
      <c r="AR36" s="111"/>
      <c r="AS36" s="113"/>
      <c r="AT36" s="113">
        <v>0</v>
      </c>
      <c r="AU36" s="148">
        <f t="shared" si="45"/>
        <v>0</v>
      </c>
    </row>
    <row r="37" spans="1:47" ht="15.75">
      <c r="A37" s="95">
        <v>27</v>
      </c>
      <c r="B37" s="147" t="s">
        <v>63</v>
      </c>
      <c r="C37" s="112"/>
      <c r="D37" s="111"/>
      <c r="E37" s="113"/>
      <c r="F37" s="113"/>
      <c r="G37" s="148">
        <f t="shared" si="35"/>
        <v>0</v>
      </c>
      <c r="H37" s="113"/>
      <c r="I37" s="113"/>
      <c r="J37" s="113"/>
      <c r="K37" s="148">
        <f t="shared" si="36"/>
        <v>0</v>
      </c>
      <c r="L37" s="113"/>
      <c r="M37" s="113"/>
      <c r="N37" s="113"/>
      <c r="O37" s="148">
        <f t="shared" si="37"/>
        <v>0</v>
      </c>
      <c r="P37" s="113"/>
      <c r="Q37" s="113"/>
      <c r="R37" s="113"/>
      <c r="S37" s="148">
        <f t="shared" si="38"/>
        <v>0</v>
      </c>
      <c r="T37" s="113"/>
      <c r="U37" s="113"/>
      <c r="V37" s="113"/>
      <c r="W37" s="148">
        <f t="shared" si="39"/>
        <v>0</v>
      </c>
      <c r="X37" s="113"/>
      <c r="Y37" s="113"/>
      <c r="Z37" s="113"/>
      <c r="AA37" s="148">
        <f t="shared" si="40"/>
        <v>0</v>
      </c>
      <c r="AB37" s="113"/>
      <c r="AC37" s="113"/>
      <c r="AD37" s="113"/>
      <c r="AE37" s="148">
        <f t="shared" si="41"/>
        <v>0</v>
      </c>
      <c r="AF37" s="113"/>
      <c r="AG37" s="113"/>
      <c r="AH37" s="113"/>
      <c r="AI37" s="148">
        <f t="shared" si="42"/>
        <v>0</v>
      </c>
      <c r="AJ37" s="113"/>
      <c r="AK37" s="157"/>
      <c r="AL37" s="113"/>
      <c r="AM37" s="148">
        <f t="shared" si="43"/>
        <v>0</v>
      </c>
      <c r="AN37" s="111"/>
      <c r="AO37" s="113"/>
      <c r="AP37" s="113"/>
      <c r="AQ37" s="148">
        <f t="shared" si="44"/>
        <v>0</v>
      </c>
      <c r="AR37" s="111"/>
      <c r="AS37" s="113"/>
      <c r="AT37" s="113">
        <v>0</v>
      </c>
      <c r="AU37" s="148">
        <f t="shared" si="45"/>
        <v>0</v>
      </c>
    </row>
    <row r="38" spans="1:47" ht="15.75">
      <c r="A38" s="95">
        <v>28</v>
      </c>
      <c r="B38" s="147" t="s">
        <v>64</v>
      </c>
      <c r="C38" s="112"/>
      <c r="D38" s="111"/>
      <c r="E38" s="113"/>
      <c r="F38" s="113"/>
      <c r="G38" s="148">
        <f t="shared" si="35"/>
        <v>0</v>
      </c>
      <c r="H38" s="113"/>
      <c r="I38" s="113"/>
      <c r="J38" s="113"/>
      <c r="K38" s="148">
        <f t="shared" si="36"/>
        <v>0</v>
      </c>
      <c r="L38" s="113"/>
      <c r="M38" s="113"/>
      <c r="N38" s="113"/>
      <c r="O38" s="148">
        <f t="shared" si="37"/>
        <v>0</v>
      </c>
      <c r="P38" s="113"/>
      <c r="Q38" s="113"/>
      <c r="R38" s="113"/>
      <c r="S38" s="148">
        <f t="shared" si="38"/>
        <v>0</v>
      </c>
      <c r="T38" s="113"/>
      <c r="U38" s="113"/>
      <c r="V38" s="113"/>
      <c r="W38" s="148">
        <f t="shared" si="39"/>
        <v>0</v>
      </c>
      <c r="X38" s="113"/>
      <c r="Y38" s="113"/>
      <c r="Z38" s="113"/>
      <c r="AA38" s="148">
        <f t="shared" si="40"/>
        <v>0</v>
      </c>
      <c r="AB38" s="113"/>
      <c r="AC38" s="113"/>
      <c r="AD38" s="113"/>
      <c r="AE38" s="148">
        <f t="shared" si="41"/>
        <v>0</v>
      </c>
      <c r="AF38" s="113"/>
      <c r="AG38" s="113"/>
      <c r="AH38" s="113"/>
      <c r="AI38" s="148">
        <f t="shared" si="42"/>
        <v>0</v>
      </c>
      <c r="AJ38" s="113"/>
      <c r="AK38" s="157"/>
      <c r="AL38" s="113"/>
      <c r="AM38" s="148">
        <f t="shared" si="43"/>
        <v>0</v>
      </c>
      <c r="AN38" s="111"/>
      <c r="AO38" s="113"/>
      <c r="AP38" s="113"/>
      <c r="AQ38" s="148">
        <f t="shared" si="44"/>
        <v>0</v>
      </c>
      <c r="AR38" s="111"/>
      <c r="AS38" s="113"/>
      <c r="AT38" s="113">
        <v>0</v>
      </c>
      <c r="AU38" s="148">
        <f t="shared" si="45"/>
        <v>0</v>
      </c>
    </row>
    <row r="39" spans="1:47" ht="15.75">
      <c r="A39" s="95">
        <v>29</v>
      </c>
      <c r="B39" s="147" t="s">
        <v>65</v>
      </c>
      <c r="C39" s="112"/>
      <c r="D39" s="111"/>
      <c r="E39" s="113"/>
      <c r="F39" s="113"/>
      <c r="G39" s="148">
        <f t="shared" si="35"/>
        <v>0</v>
      </c>
      <c r="H39" s="113"/>
      <c r="I39" s="113"/>
      <c r="J39" s="113"/>
      <c r="K39" s="148">
        <f t="shared" si="36"/>
        <v>0</v>
      </c>
      <c r="L39" s="113"/>
      <c r="M39" s="113"/>
      <c r="N39" s="113"/>
      <c r="O39" s="148">
        <f t="shared" si="37"/>
        <v>0</v>
      </c>
      <c r="P39" s="113"/>
      <c r="Q39" s="113"/>
      <c r="R39" s="113"/>
      <c r="S39" s="148">
        <f t="shared" si="38"/>
        <v>0</v>
      </c>
      <c r="T39" s="113"/>
      <c r="U39" s="113"/>
      <c r="V39" s="113"/>
      <c r="W39" s="148">
        <f t="shared" si="39"/>
        <v>0</v>
      </c>
      <c r="X39" s="113"/>
      <c r="Y39" s="113"/>
      <c r="Z39" s="113"/>
      <c r="AA39" s="148">
        <f t="shared" si="40"/>
        <v>0</v>
      </c>
      <c r="AB39" s="113"/>
      <c r="AC39" s="113"/>
      <c r="AD39" s="113"/>
      <c r="AE39" s="148">
        <f t="shared" si="41"/>
        <v>0</v>
      </c>
      <c r="AF39" s="113"/>
      <c r="AG39" s="113"/>
      <c r="AH39" s="113"/>
      <c r="AI39" s="148">
        <f t="shared" si="42"/>
        <v>0</v>
      </c>
      <c r="AJ39" s="113"/>
      <c r="AK39" s="157"/>
      <c r="AL39" s="113"/>
      <c r="AM39" s="148">
        <f t="shared" si="43"/>
        <v>0</v>
      </c>
      <c r="AN39" s="111"/>
      <c r="AO39" s="113"/>
      <c r="AP39" s="113"/>
      <c r="AQ39" s="148">
        <f t="shared" si="44"/>
        <v>0</v>
      </c>
      <c r="AR39" s="111"/>
      <c r="AS39" s="113"/>
      <c r="AT39" s="113">
        <v>0</v>
      </c>
      <c r="AU39" s="148">
        <f t="shared" si="45"/>
        <v>0</v>
      </c>
    </row>
    <row r="40" spans="1:47" ht="15.75">
      <c r="A40" s="95">
        <v>30</v>
      </c>
      <c r="B40" s="147" t="s">
        <v>66</v>
      </c>
      <c r="C40" s="112"/>
      <c r="D40" s="111"/>
      <c r="E40" s="113"/>
      <c r="F40" s="113"/>
      <c r="G40" s="148">
        <f t="shared" si="35"/>
        <v>0</v>
      </c>
      <c r="H40" s="113"/>
      <c r="I40" s="113"/>
      <c r="J40" s="113"/>
      <c r="K40" s="148">
        <f t="shared" si="36"/>
        <v>0</v>
      </c>
      <c r="L40" s="113"/>
      <c r="M40" s="113"/>
      <c r="N40" s="113"/>
      <c r="O40" s="148">
        <f t="shared" si="37"/>
        <v>0</v>
      </c>
      <c r="P40" s="113"/>
      <c r="Q40" s="113"/>
      <c r="R40" s="113"/>
      <c r="S40" s="148">
        <f t="shared" si="38"/>
        <v>0</v>
      </c>
      <c r="T40" s="113"/>
      <c r="U40" s="113"/>
      <c r="V40" s="113"/>
      <c r="W40" s="148">
        <f t="shared" si="39"/>
        <v>0</v>
      </c>
      <c r="X40" s="113"/>
      <c r="Y40" s="113"/>
      <c r="Z40" s="113"/>
      <c r="AA40" s="148">
        <f t="shared" si="40"/>
        <v>0</v>
      </c>
      <c r="AB40" s="113"/>
      <c r="AC40" s="113"/>
      <c r="AD40" s="113"/>
      <c r="AE40" s="148">
        <f t="shared" si="41"/>
        <v>0</v>
      </c>
      <c r="AF40" s="113"/>
      <c r="AG40" s="113"/>
      <c r="AH40" s="113"/>
      <c r="AI40" s="148">
        <f t="shared" si="42"/>
        <v>0</v>
      </c>
      <c r="AJ40" s="113"/>
      <c r="AK40" s="157"/>
      <c r="AL40" s="113"/>
      <c r="AM40" s="148">
        <f t="shared" si="43"/>
        <v>0</v>
      </c>
      <c r="AN40" s="111"/>
      <c r="AO40" s="113"/>
      <c r="AP40" s="113"/>
      <c r="AQ40" s="148">
        <f t="shared" si="44"/>
        <v>0</v>
      </c>
      <c r="AR40" s="111"/>
      <c r="AS40" s="113"/>
      <c r="AT40" s="113">
        <v>0</v>
      </c>
      <c r="AU40" s="148">
        <f t="shared" si="45"/>
        <v>0</v>
      </c>
    </row>
    <row r="41" spans="1:47" ht="15.75">
      <c r="A41" s="95">
        <v>31</v>
      </c>
      <c r="B41" s="147" t="s">
        <v>67</v>
      </c>
      <c r="C41" s="112"/>
      <c r="D41" s="111"/>
      <c r="E41" s="113"/>
      <c r="F41" s="113"/>
      <c r="G41" s="148">
        <f t="shared" si="35"/>
        <v>0</v>
      </c>
      <c r="H41" s="113"/>
      <c r="I41" s="113"/>
      <c r="J41" s="113"/>
      <c r="K41" s="148">
        <f t="shared" si="36"/>
        <v>0</v>
      </c>
      <c r="L41" s="113"/>
      <c r="M41" s="113"/>
      <c r="N41" s="113"/>
      <c r="O41" s="148">
        <f t="shared" si="37"/>
        <v>0</v>
      </c>
      <c r="P41" s="113"/>
      <c r="Q41" s="113"/>
      <c r="R41" s="113"/>
      <c r="S41" s="148">
        <f t="shared" si="38"/>
        <v>0</v>
      </c>
      <c r="T41" s="113"/>
      <c r="U41" s="113"/>
      <c r="V41" s="113"/>
      <c r="W41" s="148">
        <f t="shared" si="39"/>
        <v>0</v>
      </c>
      <c r="X41" s="113"/>
      <c r="Y41" s="113"/>
      <c r="Z41" s="113"/>
      <c r="AA41" s="148">
        <f t="shared" si="40"/>
        <v>0</v>
      </c>
      <c r="AB41" s="113"/>
      <c r="AC41" s="113"/>
      <c r="AD41" s="113"/>
      <c r="AE41" s="148">
        <f t="shared" si="41"/>
        <v>0</v>
      </c>
      <c r="AF41" s="113"/>
      <c r="AG41" s="113"/>
      <c r="AH41" s="113"/>
      <c r="AI41" s="148">
        <f t="shared" si="42"/>
        <v>0</v>
      </c>
      <c r="AJ41" s="113"/>
      <c r="AK41" s="157"/>
      <c r="AL41" s="113"/>
      <c r="AM41" s="148">
        <f t="shared" si="43"/>
        <v>0</v>
      </c>
      <c r="AN41" s="111"/>
      <c r="AO41" s="113"/>
      <c r="AP41" s="113"/>
      <c r="AQ41" s="148">
        <f t="shared" si="44"/>
        <v>0</v>
      </c>
      <c r="AR41" s="111"/>
      <c r="AS41" s="113"/>
      <c r="AT41" s="113">
        <v>0</v>
      </c>
      <c r="AU41" s="148">
        <f t="shared" si="45"/>
        <v>0</v>
      </c>
    </row>
    <row r="42" spans="1:47" ht="15.75">
      <c r="A42" s="95">
        <v>32</v>
      </c>
      <c r="B42" s="147" t="s">
        <v>68</v>
      </c>
      <c r="C42" s="112"/>
      <c r="D42" s="111"/>
      <c r="E42" s="113"/>
      <c r="F42" s="113"/>
      <c r="G42" s="148">
        <f t="shared" si="35"/>
        <v>0</v>
      </c>
      <c r="H42" s="113"/>
      <c r="I42" s="113"/>
      <c r="J42" s="113"/>
      <c r="K42" s="148">
        <f t="shared" si="36"/>
        <v>0</v>
      </c>
      <c r="L42" s="113"/>
      <c r="M42" s="113"/>
      <c r="N42" s="113"/>
      <c r="O42" s="148">
        <f t="shared" si="37"/>
        <v>0</v>
      </c>
      <c r="P42" s="113"/>
      <c r="Q42" s="113"/>
      <c r="R42" s="113"/>
      <c r="S42" s="148">
        <f t="shared" si="38"/>
        <v>0</v>
      </c>
      <c r="T42" s="113"/>
      <c r="U42" s="113"/>
      <c r="V42" s="113"/>
      <c r="W42" s="148">
        <f t="shared" si="39"/>
        <v>0</v>
      </c>
      <c r="X42" s="113"/>
      <c r="Y42" s="113"/>
      <c r="Z42" s="113"/>
      <c r="AA42" s="148">
        <f t="shared" si="40"/>
        <v>0</v>
      </c>
      <c r="AB42" s="113"/>
      <c r="AC42" s="113"/>
      <c r="AD42" s="113"/>
      <c r="AE42" s="148">
        <f t="shared" si="41"/>
        <v>0</v>
      </c>
      <c r="AF42" s="113"/>
      <c r="AG42" s="113"/>
      <c r="AH42" s="113"/>
      <c r="AI42" s="148">
        <f t="shared" si="42"/>
        <v>0</v>
      </c>
      <c r="AJ42" s="113"/>
      <c r="AK42" s="157"/>
      <c r="AL42" s="113"/>
      <c r="AM42" s="148">
        <f t="shared" si="43"/>
        <v>0</v>
      </c>
      <c r="AN42" s="111"/>
      <c r="AO42" s="113"/>
      <c r="AP42" s="113"/>
      <c r="AQ42" s="148">
        <f t="shared" si="44"/>
        <v>0</v>
      </c>
      <c r="AR42" s="111"/>
      <c r="AS42" s="113"/>
      <c r="AT42" s="113">
        <v>0</v>
      </c>
      <c r="AU42" s="148">
        <f t="shared" si="45"/>
        <v>0</v>
      </c>
    </row>
    <row r="43" spans="1:47" ht="15.75">
      <c r="A43" s="95">
        <v>33</v>
      </c>
      <c r="B43" s="147" t="s">
        <v>69</v>
      </c>
      <c r="C43" s="112"/>
      <c r="D43" s="111"/>
      <c r="E43" s="113"/>
      <c r="F43" s="113"/>
      <c r="G43" s="148">
        <f t="shared" si="35"/>
        <v>0</v>
      </c>
      <c r="H43" s="113"/>
      <c r="I43" s="113"/>
      <c r="J43" s="113"/>
      <c r="K43" s="148">
        <f t="shared" si="36"/>
        <v>0</v>
      </c>
      <c r="L43" s="113"/>
      <c r="M43" s="113"/>
      <c r="N43" s="113"/>
      <c r="O43" s="148">
        <f t="shared" si="37"/>
        <v>0</v>
      </c>
      <c r="P43" s="113"/>
      <c r="Q43" s="113"/>
      <c r="R43" s="113"/>
      <c r="S43" s="148">
        <f t="shared" si="38"/>
        <v>0</v>
      </c>
      <c r="T43" s="113"/>
      <c r="U43" s="113"/>
      <c r="V43" s="113"/>
      <c r="W43" s="148">
        <f t="shared" si="39"/>
        <v>0</v>
      </c>
      <c r="X43" s="113"/>
      <c r="Y43" s="113"/>
      <c r="Z43" s="113"/>
      <c r="AA43" s="148">
        <f t="shared" si="40"/>
        <v>0</v>
      </c>
      <c r="AB43" s="113"/>
      <c r="AC43" s="113"/>
      <c r="AD43" s="113"/>
      <c r="AE43" s="148">
        <f t="shared" si="41"/>
        <v>0</v>
      </c>
      <c r="AF43" s="113"/>
      <c r="AG43" s="113"/>
      <c r="AH43" s="113"/>
      <c r="AI43" s="148">
        <f t="shared" si="42"/>
        <v>0</v>
      </c>
      <c r="AJ43" s="113"/>
      <c r="AK43" s="157"/>
      <c r="AL43" s="113"/>
      <c r="AM43" s="148">
        <f t="shared" si="43"/>
        <v>0</v>
      </c>
      <c r="AN43" s="111"/>
      <c r="AO43" s="113"/>
      <c r="AP43" s="113"/>
      <c r="AQ43" s="148">
        <f t="shared" si="44"/>
        <v>0</v>
      </c>
      <c r="AR43" s="111"/>
      <c r="AS43" s="113"/>
      <c r="AT43" s="113">
        <v>0</v>
      </c>
      <c r="AU43" s="148">
        <f t="shared" si="45"/>
        <v>0</v>
      </c>
    </row>
    <row r="44" spans="1:47" ht="15.75">
      <c r="A44" s="115">
        <v>34</v>
      </c>
      <c r="B44" s="158" t="s">
        <v>70</v>
      </c>
      <c r="C44" s="112"/>
      <c r="D44" s="111"/>
      <c r="E44" s="113"/>
      <c r="F44" s="113"/>
      <c r="G44" s="148">
        <f t="shared" si="35"/>
        <v>0</v>
      </c>
      <c r="H44" s="113"/>
      <c r="I44" s="113"/>
      <c r="J44" s="113"/>
      <c r="K44" s="148">
        <f t="shared" si="36"/>
        <v>0</v>
      </c>
      <c r="L44" s="113"/>
      <c r="M44" s="113"/>
      <c r="N44" s="113"/>
      <c r="O44" s="148">
        <f t="shared" si="37"/>
        <v>0</v>
      </c>
      <c r="P44" s="113"/>
      <c r="Q44" s="113"/>
      <c r="R44" s="113"/>
      <c r="S44" s="148">
        <f t="shared" si="38"/>
        <v>0</v>
      </c>
      <c r="T44" s="113"/>
      <c r="U44" s="113"/>
      <c r="V44" s="113"/>
      <c r="W44" s="148">
        <f t="shared" si="39"/>
        <v>0</v>
      </c>
      <c r="X44" s="113"/>
      <c r="Y44" s="113"/>
      <c r="Z44" s="113"/>
      <c r="AA44" s="148">
        <f t="shared" si="40"/>
        <v>0</v>
      </c>
      <c r="AB44" s="113"/>
      <c r="AC44" s="113"/>
      <c r="AD44" s="113"/>
      <c r="AE44" s="148">
        <f t="shared" si="41"/>
        <v>0</v>
      </c>
      <c r="AF44" s="113"/>
      <c r="AG44" s="113"/>
      <c r="AH44" s="113"/>
      <c r="AI44" s="148">
        <f t="shared" si="42"/>
        <v>0</v>
      </c>
      <c r="AJ44" s="113"/>
      <c r="AK44" s="157"/>
      <c r="AL44" s="113"/>
      <c r="AM44" s="148">
        <f t="shared" si="43"/>
        <v>0</v>
      </c>
      <c r="AN44" s="111"/>
      <c r="AO44" s="113"/>
      <c r="AP44" s="113"/>
      <c r="AQ44" s="148">
        <f t="shared" si="44"/>
        <v>0</v>
      </c>
      <c r="AR44" s="111"/>
      <c r="AS44" s="113"/>
      <c r="AT44" s="113">
        <v>0</v>
      </c>
      <c r="AU44" s="148">
        <f t="shared" si="45"/>
        <v>0</v>
      </c>
    </row>
    <row r="45" spans="1:47" ht="15.75">
      <c r="A45" s="115">
        <v>35</v>
      </c>
      <c r="B45" s="158" t="s">
        <v>71</v>
      </c>
      <c r="C45" s="112"/>
      <c r="D45" s="111"/>
      <c r="E45" s="113"/>
      <c r="F45" s="113"/>
      <c r="G45" s="148">
        <f t="shared" si="35"/>
        <v>0</v>
      </c>
      <c r="H45" s="113"/>
      <c r="I45" s="113"/>
      <c r="J45" s="113"/>
      <c r="K45" s="148">
        <f t="shared" si="36"/>
        <v>0</v>
      </c>
      <c r="L45" s="113"/>
      <c r="M45" s="113"/>
      <c r="N45" s="113"/>
      <c r="O45" s="148">
        <f t="shared" si="37"/>
        <v>0</v>
      </c>
      <c r="P45" s="113"/>
      <c r="Q45" s="113"/>
      <c r="R45" s="113"/>
      <c r="S45" s="148">
        <f t="shared" si="38"/>
        <v>0</v>
      </c>
      <c r="T45" s="113"/>
      <c r="U45" s="113"/>
      <c r="V45" s="113"/>
      <c r="W45" s="148">
        <f t="shared" si="39"/>
        <v>0</v>
      </c>
      <c r="X45" s="113"/>
      <c r="Y45" s="113"/>
      <c r="Z45" s="113"/>
      <c r="AA45" s="148">
        <f t="shared" si="40"/>
        <v>0</v>
      </c>
      <c r="AB45" s="113"/>
      <c r="AC45" s="113"/>
      <c r="AD45" s="113"/>
      <c r="AE45" s="148">
        <f t="shared" si="41"/>
        <v>0</v>
      </c>
      <c r="AF45" s="113"/>
      <c r="AG45" s="113"/>
      <c r="AH45" s="113"/>
      <c r="AI45" s="148">
        <f t="shared" si="42"/>
        <v>0</v>
      </c>
      <c r="AJ45" s="113"/>
      <c r="AK45" s="157"/>
      <c r="AL45" s="113"/>
      <c r="AM45" s="148">
        <f t="shared" si="43"/>
        <v>0</v>
      </c>
      <c r="AN45" s="111"/>
      <c r="AO45" s="113"/>
      <c r="AP45" s="113"/>
      <c r="AQ45" s="148">
        <f t="shared" si="44"/>
        <v>0</v>
      </c>
      <c r="AR45" s="111"/>
      <c r="AS45" s="113"/>
      <c r="AT45" s="113">
        <v>0</v>
      </c>
      <c r="AU45" s="148">
        <f t="shared" si="45"/>
        <v>0</v>
      </c>
    </row>
    <row r="46" spans="1:47" ht="16.5" thickBot="1">
      <c r="A46" s="97">
        <v>36</v>
      </c>
      <c r="B46" s="159"/>
      <c r="C46" s="160"/>
      <c r="D46" s="161"/>
      <c r="E46" s="162"/>
      <c r="F46" s="162"/>
      <c r="G46" s="148">
        <f t="shared" si="35"/>
        <v>0</v>
      </c>
      <c r="H46" s="162"/>
      <c r="I46" s="162"/>
      <c r="J46" s="162"/>
      <c r="K46" s="148">
        <f t="shared" si="36"/>
        <v>0</v>
      </c>
      <c r="L46" s="162"/>
      <c r="M46" s="162"/>
      <c r="N46" s="162"/>
      <c r="O46" s="148">
        <f t="shared" si="37"/>
        <v>0</v>
      </c>
      <c r="P46" s="162"/>
      <c r="Q46" s="162"/>
      <c r="R46" s="162"/>
      <c r="S46" s="148">
        <f t="shared" si="38"/>
        <v>0</v>
      </c>
      <c r="T46" s="162"/>
      <c r="U46" s="162"/>
      <c r="V46" s="162"/>
      <c r="W46" s="148">
        <f t="shared" si="39"/>
        <v>0</v>
      </c>
      <c r="X46" s="162"/>
      <c r="Y46" s="162"/>
      <c r="Z46" s="162"/>
      <c r="AA46" s="148">
        <f t="shared" si="40"/>
        <v>0</v>
      </c>
      <c r="AB46" s="162"/>
      <c r="AC46" s="162"/>
      <c r="AD46" s="162"/>
      <c r="AE46" s="148">
        <f t="shared" si="41"/>
        <v>0</v>
      </c>
      <c r="AF46" s="162"/>
      <c r="AG46" s="162"/>
      <c r="AH46" s="162"/>
      <c r="AI46" s="148">
        <f t="shared" si="42"/>
        <v>0</v>
      </c>
      <c r="AJ46" s="162"/>
      <c r="AK46" s="163"/>
      <c r="AL46" s="162"/>
      <c r="AM46" s="148">
        <f t="shared" si="43"/>
        <v>0</v>
      </c>
      <c r="AN46" s="161"/>
      <c r="AO46" s="162"/>
      <c r="AP46" s="162"/>
      <c r="AQ46" s="148">
        <f t="shared" si="44"/>
        <v>0</v>
      </c>
      <c r="AR46" s="161"/>
      <c r="AS46" s="162"/>
      <c r="AT46" s="162">
        <v>0</v>
      </c>
      <c r="AU46" s="148">
        <f t="shared" si="45"/>
        <v>0</v>
      </c>
    </row>
    <row r="47" spans="1:47" ht="16.5" thickBot="1">
      <c r="A47" s="90"/>
      <c r="B47" s="89" t="s">
        <v>9</v>
      </c>
      <c r="C47" s="139"/>
      <c r="D47" s="140">
        <f>SUM(D28:D46)</f>
        <v>0</v>
      </c>
      <c r="E47" s="140">
        <f t="shared" ref="E47:G47" si="46">SUM(E28:E46)</f>
        <v>12550</v>
      </c>
      <c r="F47" s="140">
        <f t="shared" si="46"/>
        <v>0</v>
      </c>
      <c r="G47" s="140">
        <f t="shared" si="46"/>
        <v>12550</v>
      </c>
      <c r="H47" s="140">
        <f>SUM(H28:H46)</f>
        <v>0</v>
      </c>
      <c r="I47" s="140">
        <f t="shared" ref="I47:K47" si="47">SUM(I28:I46)</f>
        <v>4520</v>
      </c>
      <c r="J47" s="140">
        <f t="shared" si="47"/>
        <v>0</v>
      </c>
      <c r="K47" s="140">
        <f t="shared" si="47"/>
        <v>4520</v>
      </c>
      <c r="L47" s="140">
        <f>SUM(L28:L46)</f>
        <v>0</v>
      </c>
      <c r="M47" s="140">
        <f t="shared" ref="M47:O47" si="48">SUM(M28:M46)</f>
        <v>600</v>
      </c>
      <c r="N47" s="140">
        <f t="shared" si="48"/>
        <v>0</v>
      </c>
      <c r="O47" s="140">
        <f t="shared" si="48"/>
        <v>600</v>
      </c>
      <c r="P47" s="140">
        <f>SUM(P28:P46)</f>
        <v>0</v>
      </c>
      <c r="Q47" s="140">
        <f t="shared" ref="Q47:S47" si="49">SUM(Q28:Q46)</f>
        <v>4500</v>
      </c>
      <c r="R47" s="140">
        <f t="shared" si="49"/>
        <v>0</v>
      </c>
      <c r="S47" s="140">
        <f t="shared" si="49"/>
        <v>4500</v>
      </c>
      <c r="T47" s="140">
        <f>SUM(T28:T46)</f>
        <v>0</v>
      </c>
      <c r="U47" s="140">
        <f t="shared" ref="U47:W47" si="50">SUM(U28:U46)</f>
        <v>4150</v>
      </c>
      <c r="V47" s="140">
        <f t="shared" si="50"/>
        <v>0</v>
      </c>
      <c r="W47" s="140">
        <f t="shared" si="50"/>
        <v>4150</v>
      </c>
      <c r="X47" s="140">
        <f>SUM(X28:X46)</f>
        <v>890</v>
      </c>
      <c r="Y47" s="140">
        <f t="shared" ref="Y47:AA47" si="51">SUM(Y28:Y46)</f>
        <v>0</v>
      </c>
      <c r="Z47" s="140">
        <f t="shared" si="51"/>
        <v>0</v>
      </c>
      <c r="AA47" s="140">
        <f t="shared" si="51"/>
        <v>890</v>
      </c>
      <c r="AB47" s="140">
        <f>SUM(AB28:AB46)</f>
        <v>0</v>
      </c>
      <c r="AC47" s="140">
        <f t="shared" ref="AC47:AE47" si="52">SUM(AC28:AC46)</f>
        <v>1700</v>
      </c>
      <c r="AD47" s="140">
        <f t="shared" si="52"/>
        <v>0</v>
      </c>
      <c r="AE47" s="140">
        <f t="shared" si="52"/>
        <v>1700</v>
      </c>
      <c r="AF47" s="140">
        <f>SUM(AF28:AF46)</f>
        <v>2000</v>
      </c>
      <c r="AG47" s="140">
        <f t="shared" ref="AG47:AI47" si="53">SUM(AG28:AG46)</f>
        <v>0</v>
      </c>
      <c r="AH47" s="140">
        <f t="shared" si="53"/>
        <v>0</v>
      </c>
      <c r="AI47" s="140">
        <f t="shared" si="53"/>
        <v>2000</v>
      </c>
      <c r="AJ47" s="140">
        <f>SUM(AJ28:AJ46)</f>
        <v>1310</v>
      </c>
      <c r="AK47" s="140">
        <f t="shared" ref="AK47:AM47" si="54">SUM(AK28:AK46)</f>
        <v>0</v>
      </c>
      <c r="AL47" s="140">
        <f t="shared" si="54"/>
        <v>0</v>
      </c>
      <c r="AM47" s="140">
        <f t="shared" si="54"/>
        <v>1310</v>
      </c>
      <c r="AN47" s="140">
        <f>SUM(AN28:AN46)</f>
        <v>1175</v>
      </c>
      <c r="AO47" s="140">
        <f t="shared" ref="AO47:AQ47" si="55">SUM(AO28:AO46)</f>
        <v>0</v>
      </c>
      <c r="AP47" s="140">
        <f t="shared" si="55"/>
        <v>0</v>
      </c>
      <c r="AQ47" s="140">
        <f t="shared" si="55"/>
        <v>1175</v>
      </c>
      <c r="AR47" s="140">
        <f>SUM(AR28:AR46)</f>
        <v>700</v>
      </c>
      <c r="AS47" s="140">
        <f t="shared" ref="AS47:AU47" si="56">SUM(AS28:AS46)</f>
        <v>0</v>
      </c>
      <c r="AT47" s="140">
        <f t="shared" si="56"/>
        <v>0</v>
      </c>
      <c r="AU47" s="140">
        <f t="shared" si="56"/>
        <v>700</v>
      </c>
    </row>
    <row r="48" spans="1:47" ht="15.75">
      <c r="A48" s="92">
        <v>37</v>
      </c>
      <c r="B48" s="147" t="s">
        <v>72</v>
      </c>
      <c r="C48" s="114"/>
      <c r="D48" s="144"/>
      <c r="E48" s="145">
        <v>1600</v>
      </c>
      <c r="F48" s="145"/>
      <c r="G48" s="146">
        <f>SUM(D48:F48)</f>
        <v>1600</v>
      </c>
      <c r="H48" s="145"/>
      <c r="I48" s="145"/>
      <c r="J48" s="145"/>
      <c r="K48" s="146">
        <f>SUM(H48:J48)</f>
        <v>0</v>
      </c>
      <c r="L48" s="145"/>
      <c r="M48" s="145"/>
      <c r="N48" s="145"/>
      <c r="O48" s="146">
        <f>SUM(L48:N48)</f>
        <v>0</v>
      </c>
      <c r="P48" s="145"/>
      <c r="Q48" s="145"/>
      <c r="R48" s="145"/>
      <c r="S48" s="146">
        <f>SUM(P48:R48)</f>
        <v>0</v>
      </c>
      <c r="T48" s="145"/>
      <c r="U48" s="145"/>
      <c r="V48" s="145"/>
      <c r="W48" s="146">
        <f>SUM(T48:V48)</f>
        <v>0</v>
      </c>
      <c r="X48" s="145"/>
      <c r="Y48" s="145"/>
      <c r="Z48" s="145"/>
      <c r="AA48" s="146">
        <f>SUM(X48:Z48)</f>
        <v>0</v>
      </c>
      <c r="AB48" s="145"/>
      <c r="AC48" s="145"/>
      <c r="AD48" s="145"/>
      <c r="AE48" s="146">
        <f>SUM(AB48:AD48)</f>
        <v>0</v>
      </c>
      <c r="AF48" s="145">
        <v>400</v>
      </c>
      <c r="AG48" s="145"/>
      <c r="AH48" s="145"/>
      <c r="AI48" s="146">
        <f>SUM(AF48:AH48)</f>
        <v>400</v>
      </c>
      <c r="AJ48" s="145"/>
      <c r="AK48" s="145"/>
      <c r="AL48" s="145"/>
      <c r="AM48" s="146">
        <f>SUM(AJ48:AL48)</f>
        <v>0</v>
      </c>
      <c r="AN48" s="144"/>
      <c r="AO48" s="145"/>
      <c r="AP48" s="145"/>
      <c r="AQ48" s="146">
        <f>SUM(AN48:AP48)</f>
        <v>0</v>
      </c>
      <c r="AR48" s="144"/>
      <c r="AS48" s="145"/>
      <c r="AT48" s="145">
        <v>0</v>
      </c>
      <c r="AU48" s="146">
        <f>SUM(AR48:AT48)</f>
        <v>0</v>
      </c>
    </row>
    <row r="49" spans="1:47" ht="15.75">
      <c r="A49" s="95">
        <v>38</v>
      </c>
      <c r="B49" s="147" t="s">
        <v>73</v>
      </c>
      <c r="C49" s="114"/>
      <c r="D49" s="111"/>
      <c r="E49" s="113">
        <f>300+200</f>
        <v>500</v>
      </c>
      <c r="F49" s="113"/>
      <c r="G49" s="148">
        <f>SUM(D49:F49)</f>
        <v>500</v>
      </c>
      <c r="H49" s="113"/>
      <c r="I49" s="113"/>
      <c r="J49" s="113"/>
      <c r="K49" s="148">
        <f>SUM(H49:J49)</f>
        <v>0</v>
      </c>
      <c r="L49" s="113"/>
      <c r="M49" s="113"/>
      <c r="N49" s="113"/>
      <c r="O49" s="148">
        <f>SUM(L49:N49)</f>
        <v>0</v>
      </c>
      <c r="P49" s="113"/>
      <c r="Q49" s="113"/>
      <c r="R49" s="113"/>
      <c r="S49" s="148">
        <f>SUM(P49:R49)</f>
        <v>0</v>
      </c>
      <c r="T49" s="113"/>
      <c r="U49" s="113"/>
      <c r="V49" s="113"/>
      <c r="W49" s="148">
        <f>SUM(T49:V49)</f>
        <v>0</v>
      </c>
      <c r="X49" s="113"/>
      <c r="Y49" s="113"/>
      <c r="Z49" s="113"/>
      <c r="AA49" s="148">
        <f>SUM(X49:Z49)</f>
        <v>0</v>
      </c>
      <c r="AB49" s="113"/>
      <c r="AC49" s="113"/>
      <c r="AD49" s="113"/>
      <c r="AE49" s="148">
        <f>SUM(AB49:AD49)</f>
        <v>0</v>
      </c>
      <c r="AF49" s="113">
        <v>0</v>
      </c>
      <c r="AG49" s="113"/>
      <c r="AH49" s="113"/>
      <c r="AI49" s="148">
        <f>SUM(AF49:AH49)</f>
        <v>0</v>
      </c>
      <c r="AJ49" s="113"/>
      <c r="AK49" s="113"/>
      <c r="AL49" s="113"/>
      <c r="AM49" s="148">
        <f>SUM(AJ49:AL49)</f>
        <v>0</v>
      </c>
      <c r="AN49" s="111"/>
      <c r="AO49" s="113"/>
      <c r="AP49" s="113"/>
      <c r="AQ49" s="148">
        <f>SUM(AN49:AP49)</f>
        <v>0</v>
      </c>
      <c r="AR49" s="111"/>
      <c r="AS49" s="113"/>
      <c r="AT49" s="113">
        <v>0</v>
      </c>
      <c r="AU49" s="148">
        <f>SUM(AR49:AT49)</f>
        <v>0</v>
      </c>
    </row>
    <row r="50" spans="1:47" ht="15.75">
      <c r="A50" s="95">
        <v>39</v>
      </c>
      <c r="B50" s="147" t="s">
        <v>74</v>
      </c>
      <c r="C50" s="114"/>
      <c r="D50" s="111">
        <v>250</v>
      </c>
      <c r="E50" s="113">
        <f>500+698</f>
        <v>1198</v>
      </c>
      <c r="F50" s="113"/>
      <c r="G50" s="148">
        <f t="shared" ref="G50:G53" si="57">SUM(D50:F50)</f>
        <v>1448</v>
      </c>
      <c r="H50" s="113"/>
      <c r="I50" s="113">
        <v>550</v>
      </c>
      <c r="J50" s="113"/>
      <c r="K50" s="148">
        <f t="shared" ref="K50:K53" si="58">SUM(H50:J50)</f>
        <v>550</v>
      </c>
      <c r="L50" s="113"/>
      <c r="M50" s="113">
        <v>500</v>
      </c>
      <c r="N50" s="113"/>
      <c r="O50" s="148">
        <f t="shared" ref="O50:O53" si="59">SUM(L50:N50)</f>
        <v>500</v>
      </c>
      <c r="P50" s="113">
        <v>300</v>
      </c>
      <c r="Q50" s="113">
        <f>500+500</f>
        <v>1000</v>
      </c>
      <c r="R50" s="113"/>
      <c r="S50" s="148">
        <f t="shared" ref="S50:S53" si="60">SUM(P50:R50)</f>
        <v>1300</v>
      </c>
      <c r="T50" s="113">
        <v>200</v>
      </c>
      <c r="U50" s="113">
        <f>300+400</f>
        <v>700</v>
      </c>
      <c r="V50" s="113"/>
      <c r="W50" s="148">
        <f t="shared" ref="W50:W53" si="61">SUM(T50:V50)</f>
        <v>900</v>
      </c>
      <c r="X50" s="113">
        <v>140</v>
      </c>
      <c r="Y50" s="113"/>
      <c r="Z50" s="113"/>
      <c r="AA50" s="148">
        <f t="shared" ref="AA50:AA53" si="62">SUM(X50:Z50)</f>
        <v>140</v>
      </c>
      <c r="AB50" s="113"/>
      <c r="AC50" s="113">
        <v>800</v>
      </c>
      <c r="AD50" s="113"/>
      <c r="AE50" s="148">
        <f t="shared" ref="AE50:AE53" si="63">SUM(AB50:AD50)</f>
        <v>800</v>
      </c>
      <c r="AF50" s="113">
        <f>50+400</f>
        <v>450</v>
      </c>
      <c r="AG50" s="113"/>
      <c r="AH50" s="113"/>
      <c r="AI50" s="148">
        <f t="shared" ref="AI50:AI53" si="64">SUM(AF50:AH50)</f>
        <v>450</v>
      </c>
      <c r="AJ50" s="113">
        <f>50+500</f>
        <v>550</v>
      </c>
      <c r="AK50" s="113"/>
      <c r="AL50" s="113"/>
      <c r="AM50" s="148">
        <f t="shared" ref="AM50:AM53" si="65">SUM(AJ50:AL50)</f>
        <v>550</v>
      </c>
      <c r="AN50" s="111"/>
      <c r="AO50" s="113"/>
      <c r="AP50" s="113"/>
      <c r="AQ50" s="148">
        <f t="shared" ref="AQ50:AQ53" si="66">SUM(AN50:AP50)</f>
        <v>0</v>
      </c>
      <c r="AR50" s="111">
        <v>100</v>
      </c>
      <c r="AS50" s="113"/>
      <c r="AT50" s="113">
        <v>0</v>
      </c>
      <c r="AU50" s="148">
        <f t="shared" ref="AU50:AU53" si="67">SUM(AR50:AT50)</f>
        <v>100</v>
      </c>
    </row>
    <row r="51" spans="1:47" ht="15.75">
      <c r="A51" s="95">
        <v>40</v>
      </c>
      <c r="B51" s="147" t="s">
        <v>75</v>
      </c>
      <c r="C51" s="114"/>
      <c r="D51" s="111">
        <v>200</v>
      </c>
      <c r="E51" s="113">
        <v>500</v>
      </c>
      <c r="F51" s="113"/>
      <c r="G51" s="148">
        <f t="shared" si="57"/>
        <v>700</v>
      </c>
      <c r="H51" s="113"/>
      <c r="I51" s="113"/>
      <c r="J51" s="113"/>
      <c r="K51" s="148">
        <f t="shared" si="58"/>
        <v>0</v>
      </c>
      <c r="L51" s="113"/>
      <c r="M51" s="113"/>
      <c r="N51" s="113"/>
      <c r="O51" s="148">
        <f t="shared" si="59"/>
        <v>0</v>
      </c>
      <c r="P51" s="113">
        <v>450</v>
      </c>
      <c r="Q51" s="113">
        <v>900</v>
      </c>
      <c r="R51" s="113"/>
      <c r="S51" s="148">
        <f t="shared" si="60"/>
        <v>1350</v>
      </c>
      <c r="T51" s="113"/>
      <c r="U51" s="113"/>
      <c r="V51" s="113"/>
      <c r="W51" s="148">
        <f t="shared" si="61"/>
        <v>0</v>
      </c>
      <c r="X51" s="113"/>
      <c r="Y51" s="113"/>
      <c r="Z51" s="113"/>
      <c r="AA51" s="148">
        <f t="shared" si="62"/>
        <v>0</v>
      </c>
      <c r="AB51" s="113"/>
      <c r="AC51" s="113"/>
      <c r="AD51" s="113"/>
      <c r="AE51" s="148">
        <f t="shared" si="63"/>
        <v>0</v>
      </c>
      <c r="AF51" s="113">
        <v>200</v>
      </c>
      <c r="AG51" s="113"/>
      <c r="AH51" s="113"/>
      <c r="AI51" s="148">
        <f t="shared" si="64"/>
        <v>200</v>
      </c>
      <c r="AJ51" s="113"/>
      <c r="AK51" s="113"/>
      <c r="AL51" s="113"/>
      <c r="AM51" s="148">
        <f t="shared" si="65"/>
        <v>0</v>
      </c>
      <c r="AN51" s="111"/>
      <c r="AO51" s="113"/>
      <c r="AP51" s="113"/>
      <c r="AQ51" s="148">
        <f t="shared" si="66"/>
        <v>0</v>
      </c>
      <c r="AR51" s="111"/>
      <c r="AS51" s="113"/>
      <c r="AT51" s="113">
        <v>0</v>
      </c>
      <c r="AU51" s="148">
        <f t="shared" si="67"/>
        <v>0</v>
      </c>
    </row>
    <row r="52" spans="1:47" ht="15.75">
      <c r="A52" s="95">
        <v>41</v>
      </c>
      <c r="B52" s="147" t="s">
        <v>76</v>
      </c>
      <c r="C52" s="114"/>
      <c r="D52" s="111"/>
      <c r="E52" s="113"/>
      <c r="F52" s="113"/>
      <c r="G52" s="148">
        <f t="shared" si="57"/>
        <v>0</v>
      </c>
      <c r="H52" s="113"/>
      <c r="I52" s="113"/>
      <c r="J52" s="113"/>
      <c r="K52" s="148">
        <f t="shared" si="58"/>
        <v>0</v>
      </c>
      <c r="L52" s="113"/>
      <c r="M52" s="113"/>
      <c r="N52" s="113"/>
      <c r="O52" s="148">
        <f t="shared" si="59"/>
        <v>0</v>
      </c>
      <c r="P52" s="113"/>
      <c r="Q52" s="113"/>
      <c r="R52" s="113"/>
      <c r="S52" s="148">
        <f t="shared" si="60"/>
        <v>0</v>
      </c>
      <c r="T52" s="113"/>
      <c r="U52" s="113"/>
      <c r="V52" s="113"/>
      <c r="W52" s="148">
        <f t="shared" si="61"/>
        <v>0</v>
      </c>
      <c r="X52" s="113"/>
      <c r="Y52" s="113"/>
      <c r="Z52" s="113"/>
      <c r="AA52" s="148">
        <f t="shared" si="62"/>
        <v>0</v>
      </c>
      <c r="AB52" s="113"/>
      <c r="AC52" s="113"/>
      <c r="AD52" s="113"/>
      <c r="AE52" s="148">
        <f t="shared" si="63"/>
        <v>0</v>
      </c>
      <c r="AF52" s="113"/>
      <c r="AG52" s="113"/>
      <c r="AH52" s="113"/>
      <c r="AI52" s="148">
        <f t="shared" si="64"/>
        <v>0</v>
      </c>
      <c r="AJ52" s="113"/>
      <c r="AK52" s="113"/>
      <c r="AL52" s="113"/>
      <c r="AM52" s="148">
        <f t="shared" si="65"/>
        <v>0</v>
      </c>
      <c r="AN52" s="111"/>
      <c r="AO52" s="113"/>
      <c r="AP52" s="113"/>
      <c r="AQ52" s="148">
        <f t="shared" si="66"/>
        <v>0</v>
      </c>
      <c r="AR52" s="111"/>
      <c r="AS52" s="113"/>
      <c r="AT52" s="113">
        <v>0</v>
      </c>
      <c r="AU52" s="148">
        <f t="shared" si="67"/>
        <v>0</v>
      </c>
    </row>
    <row r="53" spans="1:47" ht="16.5" thickBot="1">
      <c r="A53" s="97">
        <v>42</v>
      </c>
      <c r="B53" s="164"/>
      <c r="C53" s="165"/>
      <c r="D53" s="101"/>
      <c r="E53" s="100"/>
      <c r="F53" s="100"/>
      <c r="G53" s="148">
        <f t="shared" si="57"/>
        <v>0</v>
      </c>
      <c r="H53" s="100"/>
      <c r="I53" s="100"/>
      <c r="J53" s="100"/>
      <c r="K53" s="148">
        <f t="shared" si="58"/>
        <v>0</v>
      </c>
      <c r="L53" s="100"/>
      <c r="M53" s="100"/>
      <c r="N53" s="100"/>
      <c r="O53" s="148">
        <f t="shared" si="59"/>
        <v>0</v>
      </c>
      <c r="P53" s="100"/>
      <c r="Q53" s="100"/>
      <c r="R53" s="100"/>
      <c r="S53" s="148">
        <f t="shared" si="60"/>
        <v>0</v>
      </c>
      <c r="T53" s="100"/>
      <c r="U53" s="100"/>
      <c r="V53" s="100"/>
      <c r="W53" s="148">
        <f t="shared" si="61"/>
        <v>0</v>
      </c>
      <c r="X53" s="100"/>
      <c r="Y53" s="100"/>
      <c r="Z53" s="100"/>
      <c r="AA53" s="148">
        <f t="shared" si="62"/>
        <v>0</v>
      </c>
      <c r="AB53" s="100"/>
      <c r="AC53" s="100"/>
      <c r="AD53" s="100"/>
      <c r="AE53" s="148">
        <f t="shared" si="63"/>
        <v>0</v>
      </c>
      <c r="AF53" s="100"/>
      <c r="AG53" s="100"/>
      <c r="AH53" s="100"/>
      <c r="AI53" s="148">
        <f t="shared" si="64"/>
        <v>0</v>
      </c>
      <c r="AJ53" s="100"/>
      <c r="AK53" s="100"/>
      <c r="AL53" s="100"/>
      <c r="AM53" s="148">
        <f t="shared" si="65"/>
        <v>0</v>
      </c>
      <c r="AN53" s="101"/>
      <c r="AO53" s="100"/>
      <c r="AP53" s="100"/>
      <c r="AQ53" s="148">
        <f t="shared" si="66"/>
        <v>0</v>
      </c>
      <c r="AR53" s="101"/>
      <c r="AS53" s="100"/>
      <c r="AT53" s="100">
        <v>0</v>
      </c>
      <c r="AU53" s="148">
        <f t="shared" si="67"/>
        <v>0</v>
      </c>
    </row>
    <row r="54" spans="1:47" ht="16.5" thickBot="1">
      <c r="A54" s="38"/>
      <c r="B54" s="89" t="s">
        <v>77</v>
      </c>
      <c r="C54" s="139"/>
      <c r="D54" s="140">
        <f>SUM(D48:D53)</f>
        <v>450</v>
      </c>
      <c r="E54" s="140">
        <f t="shared" ref="E54:G54" si="68">SUM(E48:E53)</f>
        <v>3798</v>
      </c>
      <c r="F54" s="140">
        <f t="shared" si="68"/>
        <v>0</v>
      </c>
      <c r="G54" s="140">
        <f t="shared" si="68"/>
        <v>4248</v>
      </c>
      <c r="H54" s="140">
        <f>SUM(H48:H53)</f>
        <v>0</v>
      </c>
      <c r="I54" s="140">
        <f t="shared" ref="I54:K54" si="69">SUM(I48:I53)</f>
        <v>550</v>
      </c>
      <c r="J54" s="140">
        <f t="shared" si="69"/>
        <v>0</v>
      </c>
      <c r="K54" s="140">
        <f t="shared" si="69"/>
        <v>550</v>
      </c>
      <c r="L54" s="140">
        <f>SUM(L48:L53)</f>
        <v>0</v>
      </c>
      <c r="M54" s="140">
        <f t="shared" ref="M54:O54" si="70">SUM(M48:M53)</f>
        <v>500</v>
      </c>
      <c r="N54" s="140">
        <f t="shared" si="70"/>
        <v>0</v>
      </c>
      <c r="O54" s="140">
        <f t="shared" si="70"/>
        <v>500</v>
      </c>
      <c r="P54" s="140">
        <f>SUM(P48:P53)</f>
        <v>750</v>
      </c>
      <c r="Q54" s="140">
        <f t="shared" ref="Q54:S54" si="71">SUM(Q48:Q53)</f>
        <v>1900</v>
      </c>
      <c r="R54" s="140">
        <f t="shared" si="71"/>
        <v>0</v>
      </c>
      <c r="S54" s="140">
        <f t="shared" si="71"/>
        <v>2650</v>
      </c>
      <c r="T54" s="140">
        <f>SUM(T48:T53)</f>
        <v>200</v>
      </c>
      <c r="U54" s="140">
        <f t="shared" ref="U54:W54" si="72">SUM(U48:U53)</f>
        <v>700</v>
      </c>
      <c r="V54" s="140">
        <f t="shared" si="72"/>
        <v>0</v>
      </c>
      <c r="W54" s="140">
        <f t="shared" si="72"/>
        <v>900</v>
      </c>
      <c r="X54" s="140">
        <f>SUM(X48:X53)</f>
        <v>140</v>
      </c>
      <c r="Y54" s="140">
        <f t="shared" ref="Y54:AA54" si="73">SUM(Y48:Y53)</f>
        <v>0</v>
      </c>
      <c r="Z54" s="140">
        <f t="shared" si="73"/>
        <v>0</v>
      </c>
      <c r="AA54" s="140">
        <f t="shared" si="73"/>
        <v>140</v>
      </c>
      <c r="AB54" s="140">
        <f>SUM(AB48:AB53)</f>
        <v>0</v>
      </c>
      <c r="AC54" s="140">
        <f t="shared" ref="AC54:AE54" si="74">SUM(AC48:AC53)</f>
        <v>800</v>
      </c>
      <c r="AD54" s="140">
        <f t="shared" si="74"/>
        <v>0</v>
      </c>
      <c r="AE54" s="140">
        <f t="shared" si="74"/>
        <v>800</v>
      </c>
      <c r="AF54" s="140">
        <f>SUM(AF48:AF53)</f>
        <v>1050</v>
      </c>
      <c r="AG54" s="140">
        <f t="shared" ref="AG54:AI54" si="75">SUM(AG48:AG53)</f>
        <v>0</v>
      </c>
      <c r="AH54" s="140">
        <f t="shared" si="75"/>
        <v>0</v>
      </c>
      <c r="AI54" s="140">
        <f t="shared" si="75"/>
        <v>1050</v>
      </c>
      <c r="AJ54" s="140">
        <f>SUM(AJ48:AJ53)</f>
        <v>550</v>
      </c>
      <c r="AK54" s="140">
        <f t="shared" ref="AK54:AM54" si="76">SUM(AK48:AK53)</f>
        <v>0</v>
      </c>
      <c r="AL54" s="140">
        <f t="shared" si="76"/>
        <v>0</v>
      </c>
      <c r="AM54" s="140">
        <f t="shared" si="76"/>
        <v>550</v>
      </c>
      <c r="AN54" s="140">
        <f>SUM(AN48:AN53)</f>
        <v>0</v>
      </c>
      <c r="AO54" s="140">
        <f t="shared" ref="AO54:AQ54" si="77">SUM(AO48:AO53)</f>
        <v>0</v>
      </c>
      <c r="AP54" s="140">
        <f t="shared" si="77"/>
        <v>0</v>
      </c>
      <c r="AQ54" s="140">
        <f t="shared" si="77"/>
        <v>0</v>
      </c>
      <c r="AR54" s="140">
        <f>SUM(AR48:AR53)</f>
        <v>100</v>
      </c>
      <c r="AS54" s="140">
        <f t="shared" ref="AS54:AU54" si="78">SUM(AS48:AS53)</f>
        <v>0</v>
      </c>
      <c r="AT54" s="140">
        <f t="shared" si="78"/>
        <v>0</v>
      </c>
      <c r="AU54" s="140">
        <f t="shared" si="78"/>
        <v>100</v>
      </c>
    </row>
    <row r="55" spans="1:47" ht="16.5" thickBot="1">
      <c r="A55" s="166"/>
      <c r="B55" s="167" t="s">
        <v>10</v>
      </c>
      <c r="C55" s="134"/>
      <c r="D55" s="140">
        <f>D6+D20+D27+D47+D54</f>
        <v>66177</v>
      </c>
      <c r="E55" s="140">
        <f t="shared" ref="E55:G55" si="79">E6+E20+E27+E47+E54</f>
        <v>306962</v>
      </c>
      <c r="F55" s="140">
        <f t="shared" si="79"/>
        <v>0</v>
      </c>
      <c r="G55" s="140">
        <f t="shared" si="79"/>
        <v>373139</v>
      </c>
      <c r="H55" s="140">
        <f>H6+H20+H27+H47+H54</f>
        <v>12238</v>
      </c>
      <c r="I55" s="140">
        <f t="shared" ref="I55:K55" si="80">I6+I20+I27+I47+I54</f>
        <v>304777</v>
      </c>
      <c r="J55" s="140">
        <f t="shared" si="80"/>
        <v>0</v>
      </c>
      <c r="K55" s="140">
        <f t="shared" si="80"/>
        <v>317015</v>
      </c>
      <c r="L55" s="140">
        <f>L6+L20+L27+L47+L54</f>
        <v>6486</v>
      </c>
      <c r="M55" s="140">
        <f t="shared" ref="M55:O55" si="81">M6+M20+M27+M47+M54</f>
        <v>420790</v>
      </c>
      <c r="N55" s="140">
        <f t="shared" si="81"/>
        <v>0</v>
      </c>
      <c r="O55" s="140">
        <f t="shared" si="81"/>
        <v>427276</v>
      </c>
      <c r="P55" s="140">
        <f>P6+P20+P27+P47+P54</f>
        <v>2928</v>
      </c>
      <c r="Q55" s="140">
        <f t="shared" ref="Q55:S55" si="82">Q6+Q20+Q27+Q47+Q54</f>
        <v>324140</v>
      </c>
      <c r="R55" s="140">
        <f t="shared" si="82"/>
        <v>0</v>
      </c>
      <c r="S55" s="140">
        <f t="shared" si="82"/>
        <v>327068</v>
      </c>
      <c r="T55" s="140">
        <f>T6+T20+T27+T47+T54</f>
        <v>7170</v>
      </c>
      <c r="U55" s="140">
        <f t="shared" ref="U55:W55" si="83">U6+U20+U27+U47+U54</f>
        <v>362468</v>
      </c>
      <c r="V55" s="140">
        <f t="shared" si="83"/>
        <v>0</v>
      </c>
      <c r="W55" s="140">
        <f t="shared" si="83"/>
        <v>369638</v>
      </c>
      <c r="X55" s="140">
        <f>X6+X20+X27+X47+X54</f>
        <v>2362</v>
      </c>
      <c r="Y55" s="140">
        <f t="shared" ref="Y55:AA55" si="84">Y6+Y20+Y27+Y47+Y54</f>
        <v>245213</v>
      </c>
      <c r="Z55" s="140">
        <f t="shared" si="84"/>
        <v>7000</v>
      </c>
      <c r="AA55" s="140">
        <f t="shared" si="84"/>
        <v>254575</v>
      </c>
      <c r="AB55" s="140">
        <f>AB6+AB20+AB27+AB47+AB54</f>
        <v>12248</v>
      </c>
      <c r="AC55" s="140">
        <f t="shared" ref="AC55:AE55" si="85">AC6+AC20+AC27+AC47+AC54</f>
        <v>312159</v>
      </c>
      <c r="AD55" s="140">
        <f t="shared" si="85"/>
        <v>0</v>
      </c>
      <c r="AE55" s="140">
        <f t="shared" si="85"/>
        <v>324407</v>
      </c>
      <c r="AF55" s="140">
        <f>AF6+AF20+AF27+AF47+AF54</f>
        <v>6651</v>
      </c>
      <c r="AG55" s="140">
        <f t="shared" ref="AG55:AI55" si="86">AG6+AG20+AG27+AG47+AG54</f>
        <v>229470</v>
      </c>
      <c r="AH55" s="140">
        <f t="shared" si="86"/>
        <v>0</v>
      </c>
      <c r="AI55" s="140">
        <f t="shared" si="86"/>
        <v>236121</v>
      </c>
      <c r="AJ55" s="140">
        <f>AJ6+AJ20+AJ27+AJ47+AJ54</f>
        <v>22305</v>
      </c>
      <c r="AK55" s="140">
        <f t="shared" ref="AK55:AM55" si="87">AK6+AK20+AK27+AK47+AK54</f>
        <v>268854</v>
      </c>
      <c r="AL55" s="140">
        <f t="shared" si="87"/>
        <v>0</v>
      </c>
      <c r="AM55" s="140">
        <f t="shared" si="87"/>
        <v>291159</v>
      </c>
      <c r="AN55" s="140">
        <f>AN6+AN20+AN27+AN47+AN54</f>
        <v>36304</v>
      </c>
      <c r="AO55" s="140">
        <f t="shared" ref="AO55:AQ55" si="88">AO6+AO20+AO27+AO47+AO54</f>
        <v>152661</v>
      </c>
      <c r="AP55" s="140">
        <f t="shared" si="88"/>
        <v>0</v>
      </c>
      <c r="AQ55" s="140">
        <f t="shared" si="88"/>
        <v>188965</v>
      </c>
      <c r="AR55" s="140">
        <f>AR6+AR20+AR27+AR47+AR54</f>
        <v>11292</v>
      </c>
      <c r="AS55" s="140">
        <f t="shared" ref="AS55:AU55" si="89">AS6+AS20+AS27+AS47+AS54</f>
        <v>140947</v>
      </c>
      <c r="AT55" s="140">
        <f t="shared" si="89"/>
        <v>0</v>
      </c>
      <c r="AU55" s="140">
        <f t="shared" si="89"/>
        <v>152239</v>
      </c>
    </row>
  </sheetData>
  <mergeCells count="13">
    <mergeCell ref="X3:AA3"/>
    <mergeCell ref="A1:AU1"/>
    <mergeCell ref="A2:AU2"/>
    <mergeCell ref="D3:G3"/>
    <mergeCell ref="H3:K3"/>
    <mergeCell ref="L3:O3"/>
    <mergeCell ref="P3:S3"/>
    <mergeCell ref="T3:W3"/>
    <mergeCell ref="AB3:AE3"/>
    <mergeCell ref="AF3:AI3"/>
    <mergeCell ref="AJ3:AM3"/>
    <mergeCell ref="AN3:AQ3"/>
    <mergeCell ref="AR3:AU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5"/>
  <sheetViews>
    <sheetView tabSelected="1" workbookViewId="0">
      <selection activeCell="L24" sqref="L24"/>
    </sheetView>
  </sheetViews>
  <sheetFormatPr defaultRowHeight="15"/>
  <sheetData>
    <row r="1" spans="1:21" ht="18.75">
      <c r="A1" s="227" t="s">
        <v>172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</row>
    <row r="2" spans="1:21" ht="15.75">
      <c r="A2" s="240" t="s">
        <v>87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</row>
    <row r="3" spans="1:21" ht="15.75">
      <c r="A3" s="168" t="s">
        <v>80</v>
      </c>
      <c r="B3" s="168" t="s">
        <v>4</v>
      </c>
      <c r="C3" s="168" t="s">
        <v>88</v>
      </c>
      <c r="D3" s="169" t="s">
        <v>89</v>
      </c>
      <c r="E3" s="169" t="s">
        <v>90</v>
      </c>
      <c r="F3" s="169" t="s">
        <v>91</v>
      </c>
      <c r="G3" s="169" t="s">
        <v>92</v>
      </c>
      <c r="H3" s="169" t="s">
        <v>93</v>
      </c>
      <c r="I3" s="168" t="s">
        <v>94</v>
      </c>
      <c r="J3" s="170" t="s">
        <v>95</v>
      </c>
      <c r="K3" s="171" t="s">
        <v>96</v>
      </c>
      <c r="L3" s="169" t="s">
        <v>97</v>
      </c>
      <c r="M3" s="169" t="s">
        <v>98</v>
      </c>
      <c r="N3" s="169" t="s">
        <v>99</v>
      </c>
      <c r="O3" s="169" t="s">
        <v>100</v>
      </c>
      <c r="P3" s="169" t="s">
        <v>101</v>
      </c>
      <c r="Q3" s="169" t="s">
        <v>102</v>
      </c>
      <c r="R3" s="169" t="s">
        <v>103</v>
      </c>
      <c r="S3" s="169" t="s">
        <v>104</v>
      </c>
      <c r="T3" s="169" t="s">
        <v>105</v>
      </c>
      <c r="U3" s="169" t="s">
        <v>10</v>
      </c>
    </row>
    <row r="4" spans="1:21" ht="15.75">
      <c r="A4" s="157"/>
      <c r="B4" s="157"/>
      <c r="C4" s="157"/>
      <c r="D4" s="113"/>
      <c r="E4" s="113"/>
      <c r="F4" s="113"/>
      <c r="G4" s="113"/>
      <c r="H4" s="113"/>
      <c r="I4" s="157"/>
      <c r="J4" s="172"/>
      <c r="K4" s="173"/>
      <c r="L4" s="113" t="s">
        <v>106</v>
      </c>
      <c r="M4" s="113" t="s">
        <v>107</v>
      </c>
      <c r="N4" s="113"/>
      <c r="O4" s="113"/>
      <c r="P4" s="113"/>
      <c r="Q4" s="113"/>
      <c r="R4" s="113" t="s">
        <v>104</v>
      </c>
      <c r="S4" s="113" t="s">
        <v>108</v>
      </c>
      <c r="T4" s="113" t="s">
        <v>109</v>
      </c>
      <c r="U4" s="113"/>
    </row>
    <row r="5" spans="1:21" ht="15.75">
      <c r="A5" s="174">
        <v>1</v>
      </c>
      <c r="B5" s="174" t="s">
        <v>12</v>
      </c>
      <c r="C5" s="10">
        <v>6</v>
      </c>
      <c r="D5" s="10">
        <v>2.6</v>
      </c>
      <c r="E5" s="10">
        <v>8</v>
      </c>
      <c r="F5" s="10">
        <v>0.9</v>
      </c>
      <c r="G5" s="10"/>
      <c r="H5" s="10">
        <v>1.5</v>
      </c>
      <c r="I5" s="10"/>
      <c r="J5" s="10"/>
      <c r="K5" s="10">
        <v>0.1</v>
      </c>
      <c r="L5" s="10">
        <v>2.5</v>
      </c>
      <c r="M5" s="10"/>
      <c r="N5" s="10"/>
      <c r="O5" s="10"/>
      <c r="P5" s="10"/>
      <c r="Q5" s="10">
        <v>4</v>
      </c>
      <c r="R5" s="10">
        <v>1</v>
      </c>
      <c r="S5" s="10">
        <v>1</v>
      </c>
      <c r="T5" s="10">
        <v>3</v>
      </c>
      <c r="U5" s="175">
        <f t="shared" ref="U5:U15" si="0">SUM(C5:T5)</f>
        <v>30.6</v>
      </c>
    </row>
    <row r="6" spans="1:21" ht="15.75">
      <c r="A6" s="174">
        <v>2</v>
      </c>
      <c r="B6" s="174" t="s">
        <v>13</v>
      </c>
      <c r="C6" s="10">
        <v>3.91</v>
      </c>
      <c r="D6" s="10">
        <v>1</v>
      </c>
      <c r="E6" s="10">
        <v>7.35</v>
      </c>
      <c r="F6" s="10">
        <v>0.5</v>
      </c>
      <c r="G6" s="10">
        <v>0.01</v>
      </c>
      <c r="H6" s="10">
        <v>1</v>
      </c>
      <c r="I6" s="10">
        <v>0.01</v>
      </c>
      <c r="J6" s="10"/>
      <c r="K6" s="10">
        <v>0.2</v>
      </c>
      <c r="L6" s="10">
        <v>2</v>
      </c>
      <c r="M6" s="10"/>
      <c r="N6" s="10"/>
      <c r="O6" s="10"/>
      <c r="P6" s="10"/>
      <c r="Q6" s="10">
        <v>3.01</v>
      </c>
      <c r="R6" s="10">
        <v>8.5</v>
      </c>
      <c r="S6" s="10"/>
      <c r="T6" s="10">
        <v>2</v>
      </c>
      <c r="U6" s="175">
        <f t="shared" si="0"/>
        <v>29.49</v>
      </c>
    </row>
    <row r="7" spans="1:21" ht="15.75">
      <c r="A7" s="174">
        <v>3</v>
      </c>
      <c r="B7" s="174" t="s">
        <v>14</v>
      </c>
      <c r="C7" s="10">
        <v>1.8</v>
      </c>
      <c r="D7" s="10">
        <v>1.4</v>
      </c>
      <c r="E7" s="10">
        <v>9.4</v>
      </c>
      <c r="F7" s="10">
        <v>6.9</v>
      </c>
      <c r="G7" s="10"/>
      <c r="H7" s="10">
        <v>2.75</v>
      </c>
      <c r="I7" s="10"/>
      <c r="J7" s="10"/>
      <c r="K7" s="10"/>
      <c r="L7" s="10">
        <v>1.75</v>
      </c>
      <c r="M7" s="10"/>
      <c r="N7" s="10"/>
      <c r="O7" s="10"/>
      <c r="P7" s="10"/>
      <c r="Q7" s="10">
        <v>0.75</v>
      </c>
      <c r="R7" s="10">
        <v>0.25</v>
      </c>
      <c r="S7" s="10"/>
      <c r="T7" s="10">
        <v>1.25</v>
      </c>
      <c r="U7" s="175">
        <f t="shared" si="0"/>
        <v>26.25</v>
      </c>
    </row>
    <row r="8" spans="1:21" ht="15.75">
      <c r="A8" s="174">
        <v>4</v>
      </c>
      <c r="B8" s="174" t="s">
        <v>15</v>
      </c>
      <c r="C8" s="10">
        <v>3.8</v>
      </c>
      <c r="D8" s="10">
        <v>1.9</v>
      </c>
      <c r="E8" s="10">
        <v>10.44</v>
      </c>
      <c r="F8" s="10">
        <v>4.1500000000000004</v>
      </c>
      <c r="G8" s="10"/>
      <c r="H8" s="10">
        <v>1.1499999999999999</v>
      </c>
      <c r="I8" s="10"/>
      <c r="J8" s="10"/>
      <c r="K8" s="10"/>
      <c r="L8" s="10">
        <v>3.55</v>
      </c>
      <c r="M8" s="10"/>
      <c r="N8" s="10"/>
      <c r="O8" s="10"/>
      <c r="P8" s="10"/>
      <c r="Q8" s="10">
        <v>3.25</v>
      </c>
      <c r="R8" s="10">
        <v>0.4</v>
      </c>
      <c r="S8" s="10">
        <v>0.01</v>
      </c>
      <c r="T8" s="10">
        <v>1.25</v>
      </c>
      <c r="U8" s="175">
        <f t="shared" si="0"/>
        <v>29.9</v>
      </c>
    </row>
    <row r="9" spans="1:21" ht="15.75">
      <c r="A9" s="174">
        <v>5</v>
      </c>
      <c r="B9" s="174" t="s">
        <v>16</v>
      </c>
      <c r="C9" s="10">
        <v>3.8</v>
      </c>
      <c r="D9" s="10">
        <v>1.7</v>
      </c>
      <c r="E9" s="10">
        <v>10</v>
      </c>
      <c r="F9" s="10">
        <v>3.6</v>
      </c>
      <c r="G9" s="10"/>
      <c r="H9" s="10">
        <v>0.75</v>
      </c>
      <c r="I9" s="10"/>
      <c r="J9" s="10"/>
      <c r="K9" s="10"/>
      <c r="L9" s="10">
        <v>5</v>
      </c>
      <c r="M9" s="10"/>
      <c r="N9" s="10"/>
      <c r="O9" s="10"/>
      <c r="P9" s="10"/>
      <c r="Q9" s="10">
        <v>3.25</v>
      </c>
      <c r="R9" s="10">
        <v>0.4</v>
      </c>
      <c r="S9" s="10"/>
      <c r="T9" s="10">
        <v>1</v>
      </c>
      <c r="U9" s="175">
        <f t="shared" si="0"/>
        <v>29.5</v>
      </c>
    </row>
    <row r="10" spans="1:21" ht="15.75">
      <c r="A10" s="174">
        <v>6</v>
      </c>
      <c r="B10" s="174" t="s">
        <v>17</v>
      </c>
      <c r="C10" s="10">
        <v>3.8</v>
      </c>
      <c r="D10" s="10">
        <v>2.7</v>
      </c>
      <c r="E10" s="10">
        <v>7</v>
      </c>
      <c r="F10" s="10">
        <v>3.6</v>
      </c>
      <c r="G10" s="10"/>
      <c r="H10" s="10">
        <v>1.5</v>
      </c>
      <c r="I10" s="10"/>
      <c r="J10" s="10"/>
      <c r="K10" s="10"/>
      <c r="L10" s="10">
        <v>5</v>
      </c>
      <c r="M10" s="10"/>
      <c r="N10" s="10"/>
      <c r="O10" s="10"/>
      <c r="P10" s="10"/>
      <c r="Q10" s="10">
        <v>4</v>
      </c>
      <c r="R10" s="10">
        <v>1.4</v>
      </c>
      <c r="S10" s="10"/>
      <c r="T10" s="10">
        <v>1</v>
      </c>
      <c r="U10" s="175">
        <f t="shared" si="0"/>
        <v>30</v>
      </c>
    </row>
    <row r="11" spans="1:21" ht="15.75">
      <c r="A11" s="174">
        <v>7</v>
      </c>
      <c r="B11" s="174" t="s">
        <v>18</v>
      </c>
      <c r="C11" s="10">
        <v>1.85</v>
      </c>
      <c r="D11" s="10">
        <v>2.25</v>
      </c>
      <c r="E11" s="10">
        <v>7.65</v>
      </c>
      <c r="F11" s="10">
        <v>5.05</v>
      </c>
      <c r="G11" s="10"/>
      <c r="H11" s="10">
        <v>1.4</v>
      </c>
      <c r="I11" s="10"/>
      <c r="J11" s="10"/>
      <c r="K11" s="10"/>
      <c r="L11" s="10">
        <v>5.8</v>
      </c>
      <c r="M11" s="10"/>
      <c r="N11" s="10"/>
      <c r="O11" s="10"/>
      <c r="P11" s="10"/>
      <c r="Q11" s="10">
        <v>3.2</v>
      </c>
      <c r="R11" s="10">
        <v>1</v>
      </c>
      <c r="S11" s="10"/>
      <c r="T11" s="10">
        <v>2.8</v>
      </c>
      <c r="U11" s="175">
        <f t="shared" si="0"/>
        <v>31</v>
      </c>
    </row>
    <row r="12" spans="1:21" ht="15.75">
      <c r="A12" s="174">
        <v>8</v>
      </c>
      <c r="B12" s="174" t="s">
        <v>19</v>
      </c>
      <c r="C12" s="10">
        <v>2.15</v>
      </c>
      <c r="D12" s="10">
        <v>2.8</v>
      </c>
      <c r="E12" s="10">
        <v>7.75</v>
      </c>
      <c r="F12" s="10">
        <v>5.7</v>
      </c>
      <c r="G12" s="10"/>
      <c r="H12" s="10">
        <v>1.6</v>
      </c>
      <c r="I12" s="10"/>
      <c r="J12" s="10"/>
      <c r="K12" s="10"/>
      <c r="L12" s="10">
        <v>6.2</v>
      </c>
      <c r="M12" s="10"/>
      <c r="N12" s="10"/>
      <c r="O12" s="10"/>
      <c r="P12" s="10"/>
      <c r="Q12" s="10">
        <v>3.45</v>
      </c>
      <c r="R12" s="10">
        <v>0.5</v>
      </c>
      <c r="S12" s="10"/>
      <c r="T12" s="10">
        <v>2.9</v>
      </c>
      <c r="U12" s="175">
        <f t="shared" si="0"/>
        <v>33.049999999999997</v>
      </c>
    </row>
    <row r="13" spans="1:21" ht="15.75">
      <c r="A13" s="174">
        <v>9</v>
      </c>
      <c r="B13" s="174" t="s">
        <v>20</v>
      </c>
      <c r="C13" s="10">
        <v>1.95</v>
      </c>
      <c r="D13" s="10">
        <v>2.75</v>
      </c>
      <c r="E13" s="10">
        <v>10.3</v>
      </c>
      <c r="F13" s="10">
        <v>0.95</v>
      </c>
      <c r="G13" s="10"/>
      <c r="H13" s="10">
        <v>5.42</v>
      </c>
      <c r="I13" s="10"/>
      <c r="J13" s="10">
        <v>0.1</v>
      </c>
      <c r="K13" s="10"/>
      <c r="L13" s="10">
        <v>3.7</v>
      </c>
      <c r="M13" s="10">
        <v>0.56999999999999995</v>
      </c>
      <c r="N13" s="10"/>
      <c r="O13" s="10"/>
      <c r="P13" s="10"/>
      <c r="Q13" s="10">
        <v>3.42</v>
      </c>
      <c r="R13" s="10"/>
      <c r="S13" s="10"/>
      <c r="T13" s="10">
        <v>2.4300000000000002</v>
      </c>
      <c r="U13" s="175">
        <f t="shared" si="0"/>
        <v>31.589999999999996</v>
      </c>
    </row>
    <row r="14" spans="1:21" ht="15.75">
      <c r="A14" s="174">
        <v>10</v>
      </c>
      <c r="B14" s="174" t="s">
        <v>21</v>
      </c>
      <c r="C14" s="10">
        <v>0.9</v>
      </c>
      <c r="D14" s="10">
        <v>4.6500000000000004</v>
      </c>
      <c r="E14" s="10">
        <v>10.5</v>
      </c>
      <c r="F14" s="10">
        <v>0.8</v>
      </c>
      <c r="G14" s="10"/>
      <c r="H14" s="10">
        <f>7.12+0.05</f>
        <v>7.17</v>
      </c>
      <c r="I14" s="10"/>
      <c r="J14" s="10"/>
      <c r="K14" s="10"/>
      <c r="L14" s="10">
        <v>1</v>
      </c>
      <c r="M14" s="10">
        <v>0.5</v>
      </c>
      <c r="N14" s="10"/>
      <c r="O14" s="10"/>
      <c r="P14" s="10"/>
      <c r="Q14" s="10">
        <v>6.3</v>
      </c>
      <c r="R14" s="10"/>
      <c r="S14" s="10"/>
      <c r="T14" s="10">
        <v>0.8</v>
      </c>
      <c r="U14" s="175">
        <f t="shared" si="0"/>
        <v>32.620000000000005</v>
      </c>
    </row>
    <row r="15" spans="1:21" ht="15.75">
      <c r="A15" s="174">
        <v>11</v>
      </c>
      <c r="B15" s="174" t="s">
        <v>22</v>
      </c>
      <c r="C15" s="10">
        <v>1.3</v>
      </c>
      <c r="D15" s="10">
        <v>1.7</v>
      </c>
      <c r="E15" s="10">
        <v>3.62</v>
      </c>
      <c r="F15" s="10">
        <v>0.56000000000000005</v>
      </c>
      <c r="G15" s="10"/>
      <c r="H15" s="10">
        <v>3.35</v>
      </c>
      <c r="I15" s="10"/>
      <c r="J15" s="10">
        <v>0.43</v>
      </c>
      <c r="K15" s="10"/>
      <c r="L15" s="10">
        <v>1.77</v>
      </c>
      <c r="M15" s="10">
        <v>0.74</v>
      </c>
      <c r="N15" s="10"/>
      <c r="O15" s="10">
        <v>0.48</v>
      </c>
      <c r="P15" s="10"/>
      <c r="Q15" s="10">
        <v>4.82</v>
      </c>
      <c r="R15" s="10"/>
      <c r="S15" s="10"/>
      <c r="T15" s="10">
        <v>0.18</v>
      </c>
      <c r="U15" s="175">
        <f t="shared" si="0"/>
        <v>18.95</v>
      </c>
    </row>
  </sheetData>
  <mergeCells count="2">
    <mergeCell ref="A1:U1"/>
    <mergeCell ref="A2:U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N19"/>
  <sheetViews>
    <sheetView workbookViewId="0">
      <selection activeCell="A2" sqref="A2:N2"/>
    </sheetView>
  </sheetViews>
  <sheetFormatPr defaultRowHeight="15"/>
  <sheetData>
    <row r="2" spans="1:14" ht="19.5" thickBot="1">
      <c r="A2" s="241" t="s">
        <v>110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</row>
    <row r="3" spans="1:14">
      <c r="A3" s="176"/>
      <c r="B3" s="242" t="s">
        <v>111</v>
      </c>
      <c r="C3" s="242"/>
      <c r="D3" s="243"/>
      <c r="E3" s="242" t="s">
        <v>112</v>
      </c>
      <c r="F3" s="242"/>
      <c r="G3" s="243"/>
      <c r="H3" s="242" t="s">
        <v>113</v>
      </c>
      <c r="I3" s="242"/>
      <c r="J3" s="177" t="s">
        <v>114</v>
      </c>
      <c r="K3" s="244" t="s">
        <v>115</v>
      </c>
      <c r="L3" s="245"/>
      <c r="M3" s="178" t="s">
        <v>116</v>
      </c>
      <c r="N3" s="179"/>
    </row>
    <row r="4" spans="1:14" ht="15.75" thickBot="1">
      <c r="A4" s="180"/>
      <c r="B4" s="181"/>
      <c r="C4" s="181"/>
      <c r="D4" s="182"/>
      <c r="E4" s="181" t="s">
        <v>79</v>
      </c>
      <c r="F4" s="181"/>
      <c r="G4" s="182"/>
      <c r="H4" s="181" t="s">
        <v>79</v>
      </c>
      <c r="I4" s="181"/>
      <c r="J4" s="183" t="s">
        <v>117</v>
      </c>
      <c r="K4" s="184" t="s">
        <v>118</v>
      </c>
      <c r="L4" s="185"/>
      <c r="M4" s="184" t="s">
        <v>119</v>
      </c>
      <c r="N4" s="185"/>
    </row>
    <row r="5" spans="1:14" ht="15.75" thickBot="1">
      <c r="A5" s="180" t="s">
        <v>4</v>
      </c>
      <c r="B5" s="177" t="s">
        <v>120</v>
      </c>
      <c r="C5" s="186" t="s">
        <v>121</v>
      </c>
      <c r="D5" s="186" t="s">
        <v>10</v>
      </c>
      <c r="E5" s="177" t="s">
        <v>120</v>
      </c>
      <c r="F5" s="186" t="s">
        <v>121</v>
      </c>
      <c r="G5" s="186" t="s">
        <v>10</v>
      </c>
      <c r="H5" s="177" t="s">
        <v>122</v>
      </c>
      <c r="I5" s="186" t="s">
        <v>123</v>
      </c>
      <c r="J5" s="183" t="s">
        <v>124</v>
      </c>
      <c r="K5" s="246" t="s">
        <v>125</v>
      </c>
      <c r="L5" s="247"/>
      <c r="M5" s="184" t="s">
        <v>126</v>
      </c>
      <c r="N5" s="185"/>
    </row>
    <row r="6" spans="1:14">
      <c r="A6" s="180"/>
      <c r="B6" s="183" t="s">
        <v>127</v>
      </c>
      <c r="C6" s="187" t="s">
        <v>127</v>
      </c>
      <c r="D6" s="187" t="s">
        <v>128</v>
      </c>
      <c r="E6" s="183" t="s">
        <v>127</v>
      </c>
      <c r="F6" s="187" t="s">
        <v>127</v>
      </c>
      <c r="G6" s="187" t="s">
        <v>128</v>
      </c>
      <c r="H6" s="188"/>
      <c r="I6" s="182"/>
      <c r="J6" s="183" t="s">
        <v>129</v>
      </c>
      <c r="K6" s="177" t="s">
        <v>130</v>
      </c>
      <c r="L6" s="186" t="s">
        <v>123</v>
      </c>
      <c r="M6" s="189" t="s">
        <v>130</v>
      </c>
      <c r="N6" s="177" t="s">
        <v>123</v>
      </c>
    </row>
    <row r="7" spans="1:14" ht="15.75" thickBot="1">
      <c r="A7" s="190"/>
      <c r="B7" s="191"/>
      <c r="C7" s="192"/>
      <c r="D7" s="192"/>
      <c r="E7" s="191"/>
      <c r="F7" s="192"/>
      <c r="G7" s="192"/>
      <c r="H7" s="191"/>
      <c r="I7" s="192"/>
      <c r="J7" s="193"/>
      <c r="K7" s="193" t="s">
        <v>131</v>
      </c>
      <c r="L7" s="194" t="s">
        <v>132</v>
      </c>
      <c r="M7" s="195" t="s">
        <v>133</v>
      </c>
      <c r="N7" s="193" t="s">
        <v>132</v>
      </c>
    </row>
    <row r="8" spans="1:14">
      <c r="A8" s="196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</row>
    <row r="9" spans="1:14" ht="15.75">
      <c r="A9" s="198" t="s">
        <v>12</v>
      </c>
      <c r="B9" s="57">
        <f>122+140</f>
        <v>262</v>
      </c>
      <c r="C9" s="174">
        <f>13279+3750</f>
        <v>17029</v>
      </c>
      <c r="D9" s="61">
        <f>13401+3890</f>
        <v>17291</v>
      </c>
      <c r="E9" s="57">
        <f>126+50</f>
        <v>176</v>
      </c>
      <c r="F9" s="174">
        <f>650+250</f>
        <v>900</v>
      </c>
      <c r="G9" s="61">
        <f>776+300</f>
        <v>1076</v>
      </c>
      <c r="H9" s="57">
        <v>0</v>
      </c>
      <c r="I9" s="61">
        <v>0</v>
      </c>
      <c r="J9" s="199">
        <f>0+47</f>
        <v>47</v>
      </c>
      <c r="K9" s="57">
        <v>0</v>
      </c>
      <c r="L9" s="61">
        <v>0</v>
      </c>
      <c r="M9" s="57">
        <v>100</v>
      </c>
      <c r="N9" s="61">
        <v>2</v>
      </c>
    </row>
    <row r="10" spans="1:14" ht="15.75">
      <c r="A10" s="63" t="s">
        <v>13</v>
      </c>
      <c r="B10" s="57">
        <f>518+125</f>
        <v>643</v>
      </c>
      <c r="C10" s="174">
        <f>8112+5035</f>
        <v>13147</v>
      </c>
      <c r="D10" s="61">
        <f>8630+5160</f>
        <v>13790</v>
      </c>
      <c r="E10" s="57">
        <f>126+50</f>
        <v>176</v>
      </c>
      <c r="F10" s="174">
        <f>442+258</f>
        <v>700</v>
      </c>
      <c r="G10" s="61">
        <f>568+308</f>
        <v>876</v>
      </c>
      <c r="H10" s="57">
        <v>0</v>
      </c>
      <c r="I10" s="61">
        <v>0</v>
      </c>
      <c r="J10" s="199">
        <f>126+45</f>
        <v>171</v>
      </c>
      <c r="K10" s="57"/>
      <c r="L10" s="61"/>
      <c r="M10" s="57">
        <v>25</v>
      </c>
      <c r="N10" s="61">
        <v>1</v>
      </c>
    </row>
    <row r="11" spans="1:14" ht="15.75">
      <c r="A11" s="63" t="s">
        <v>14</v>
      </c>
      <c r="B11" s="57">
        <f>113+190</f>
        <v>303</v>
      </c>
      <c r="C11" s="174">
        <f>15054+6820</f>
        <v>21874</v>
      </c>
      <c r="D11" s="61">
        <f>15167+7010</f>
        <v>22177</v>
      </c>
      <c r="E11" s="57">
        <f>137+50</f>
        <v>187</v>
      </c>
      <c r="F11" s="174">
        <f>852+258</f>
        <v>1110</v>
      </c>
      <c r="G11" s="61">
        <f>989+308</f>
        <v>1297</v>
      </c>
      <c r="H11" s="57">
        <v>0</v>
      </c>
      <c r="I11" s="61">
        <v>0</v>
      </c>
      <c r="J11" s="199">
        <v>137</v>
      </c>
      <c r="K11" s="57"/>
      <c r="L11" s="61"/>
      <c r="M11" s="57">
        <v>100</v>
      </c>
      <c r="N11" s="61">
        <v>2</v>
      </c>
    </row>
    <row r="12" spans="1:14" ht="15.75">
      <c r="A12" s="63" t="s">
        <v>15</v>
      </c>
      <c r="B12" s="57">
        <v>113</v>
      </c>
      <c r="C12" s="174">
        <v>25231</v>
      </c>
      <c r="D12" s="61">
        <v>25344</v>
      </c>
      <c r="E12" s="57">
        <v>187</v>
      </c>
      <c r="F12" s="174">
        <v>1316</v>
      </c>
      <c r="G12" s="61">
        <v>1503</v>
      </c>
      <c r="H12" s="57"/>
      <c r="I12" s="61"/>
      <c r="J12" s="199">
        <v>137</v>
      </c>
      <c r="K12" s="57"/>
      <c r="L12" s="61"/>
      <c r="M12" s="57">
        <v>200</v>
      </c>
      <c r="N12" s="61">
        <v>0</v>
      </c>
    </row>
    <row r="13" spans="1:14" ht="15.75">
      <c r="A13" s="63" t="s">
        <v>16</v>
      </c>
      <c r="B13" s="57">
        <v>615</v>
      </c>
      <c r="C13" s="174">
        <v>99286</v>
      </c>
      <c r="D13" s="61">
        <v>99901</v>
      </c>
      <c r="E13" s="57">
        <v>182</v>
      </c>
      <c r="F13" s="174">
        <v>1316</v>
      </c>
      <c r="G13" s="61">
        <v>1498</v>
      </c>
      <c r="H13" s="57"/>
      <c r="I13" s="61"/>
      <c r="J13" s="199">
        <v>50</v>
      </c>
      <c r="K13" s="57"/>
      <c r="L13" s="61"/>
      <c r="M13" s="57"/>
      <c r="N13" s="61"/>
    </row>
    <row r="14" spans="1:14" ht="15.75">
      <c r="A14" s="63" t="s">
        <v>17</v>
      </c>
      <c r="B14" s="57">
        <v>1004</v>
      </c>
      <c r="C14" s="174">
        <v>107000</v>
      </c>
      <c r="D14" s="61">
        <v>108004</v>
      </c>
      <c r="E14" s="57">
        <v>187</v>
      </c>
      <c r="F14" s="174">
        <v>1316</v>
      </c>
      <c r="G14" s="61">
        <v>1503</v>
      </c>
      <c r="H14" s="57"/>
      <c r="I14" s="61"/>
      <c r="J14" s="199">
        <v>100</v>
      </c>
      <c r="K14" s="57"/>
      <c r="L14" s="61"/>
      <c r="M14" s="57"/>
      <c r="N14" s="61"/>
    </row>
    <row r="15" spans="1:14" ht="15.75">
      <c r="A15" s="63" t="s">
        <v>18</v>
      </c>
      <c r="B15" s="57">
        <v>534</v>
      </c>
      <c r="C15" s="174">
        <v>94086</v>
      </c>
      <c r="D15" s="61">
        <v>94620</v>
      </c>
      <c r="E15" s="57">
        <v>187</v>
      </c>
      <c r="F15" s="174">
        <v>1067</v>
      </c>
      <c r="G15" s="61">
        <v>1254</v>
      </c>
      <c r="H15" s="57">
        <v>0</v>
      </c>
      <c r="I15" s="61">
        <v>0</v>
      </c>
      <c r="J15" s="199">
        <v>110</v>
      </c>
      <c r="K15" s="57"/>
      <c r="L15" s="61">
        <v>0</v>
      </c>
      <c r="M15" s="57"/>
      <c r="N15" s="61"/>
    </row>
    <row r="16" spans="1:14" ht="15.75">
      <c r="A16" s="63" t="s">
        <v>19</v>
      </c>
      <c r="B16" s="57">
        <v>702</v>
      </c>
      <c r="C16" s="174">
        <v>102000</v>
      </c>
      <c r="D16" s="61">
        <v>102702</v>
      </c>
      <c r="E16" s="57">
        <v>192</v>
      </c>
      <c r="F16" s="174">
        <v>1142</v>
      </c>
      <c r="G16" s="61">
        <v>1334</v>
      </c>
      <c r="H16" s="57"/>
      <c r="I16" s="61"/>
      <c r="J16" s="199"/>
      <c r="K16" s="57"/>
      <c r="L16" s="61"/>
      <c r="M16" s="57"/>
      <c r="N16" s="61"/>
    </row>
    <row r="17" spans="1:14" ht="15.75">
      <c r="A17" s="63" t="s">
        <v>20</v>
      </c>
      <c r="B17" s="57">
        <v>575</v>
      </c>
      <c r="C17" s="174">
        <v>65526</v>
      </c>
      <c r="D17" s="61">
        <v>66101</v>
      </c>
      <c r="E17" s="57">
        <v>192</v>
      </c>
      <c r="F17" s="174">
        <v>1995</v>
      </c>
      <c r="G17" s="61">
        <v>2187</v>
      </c>
      <c r="H17" s="57">
        <v>0</v>
      </c>
      <c r="I17" s="61">
        <v>50</v>
      </c>
      <c r="J17" s="199">
        <v>49</v>
      </c>
      <c r="K17" s="57"/>
      <c r="L17" s="61"/>
      <c r="M17" s="57"/>
      <c r="N17" s="61"/>
    </row>
    <row r="18" spans="1:14" ht="15.75">
      <c r="A18" s="63" t="s">
        <v>21</v>
      </c>
      <c r="B18" s="57">
        <v>567</v>
      </c>
      <c r="C18" s="174">
        <v>54053</v>
      </c>
      <c r="D18" s="61">
        <v>54620</v>
      </c>
      <c r="E18" s="57">
        <v>187</v>
      </c>
      <c r="F18" s="174">
        <v>2343</v>
      </c>
      <c r="G18" s="61">
        <v>2530</v>
      </c>
      <c r="H18" s="57"/>
      <c r="I18" s="61"/>
      <c r="J18" s="199"/>
      <c r="K18" s="57"/>
      <c r="L18" s="61"/>
      <c r="M18" s="57">
        <v>1650</v>
      </c>
      <c r="N18" s="61">
        <v>33</v>
      </c>
    </row>
    <row r="19" spans="1:14" ht="15.75">
      <c r="A19" s="63" t="s">
        <v>22</v>
      </c>
      <c r="B19" s="57">
        <v>814</v>
      </c>
      <c r="C19" s="174">
        <v>81235</v>
      </c>
      <c r="D19" s="61">
        <v>82049</v>
      </c>
      <c r="E19" s="57">
        <v>187</v>
      </c>
      <c r="F19" s="174">
        <v>2593</v>
      </c>
      <c r="G19" s="61">
        <v>2780</v>
      </c>
      <c r="H19" s="57">
        <v>0</v>
      </c>
      <c r="I19" s="61">
        <v>0</v>
      </c>
      <c r="J19" s="199">
        <v>40</v>
      </c>
      <c r="K19" s="57">
        <v>0</v>
      </c>
      <c r="L19" s="61">
        <v>0</v>
      </c>
      <c r="M19" s="57">
        <v>1750</v>
      </c>
      <c r="N19" s="61">
        <v>35</v>
      </c>
    </row>
  </sheetData>
  <mergeCells count="6">
    <mergeCell ref="K5:L5"/>
    <mergeCell ref="A2:N2"/>
    <mergeCell ref="B3:D3"/>
    <mergeCell ref="E3:G3"/>
    <mergeCell ref="H3:I3"/>
    <mergeCell ref="K3:L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16"/>
  <sheetViews>
    <sheetView workbookViewId="0">
      <selection activeCell="B19" sqref="B19"/>
    </sheetView>
  </sheetViews>
  <sheetFormatPr defaultRowHeight="15"/>
  <sheetData>
    <row r="1" spans="1:18" ht="18.75">
      <c r="A1" s="248" t="s">
        <v>173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</row>
    <row r="2" spans="1:18">
      <c r="A2" s="249" t="s">
        <v>79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</row>
    <row r="3" spans="1:18">
      <c r="A3" s="200" t="s">
        <v>134</v>
      </c>
      <c r="B3" s="200" t="s">
        <v>135</v>
      </c>
      <c r="C3" s="200" t="s">
        <v>136</v>
      </c>
      <c r="D3" s="200" t="s">
        <v>137</v>
      </c>
      <c r="E3" s="201" t="s">
        <v>138</v>
      </c>
      <c r="F3" s="201" t="s">
        <v>139</v>
      </c>
      <c r="G3" s="202" t="s">
        <v>140</v>
      </c>
      <c r="H3" s="202" t="s">
        <v>141</v>
      </c>
      <c r="I3" s="202" t="s">
        <v>142</v>
      </c>
      <c r="J3" s="202" t="s">
        <v>143</v>
      </c>
      <c r="K3" s="201" t="s">
        <v>144</v>
      </c>
      <c r="L3" s="203" t="s">
        <v>145</v>
      </c>
      <c r="M3" s="204" t="s">
        <v>146</v>
      </c>
      <c r="N3" s="203" t="s">
        <v>10</v>
      </c>
      <c r="O3" s="205" t="s">
        <v>147</v>
      </c>
      <c r="P3" s="206"/>
      <c r="Q3" s="207"/>
      <c r="R3" s="208"/>
    </row>
    <row r="4" spans="1:18">
      <c r="A4" s="209" t="s">
        <v>148</v>
      </c>
      <c r="B4" s="209"/>
      <c r="C4" s="209" t="s">
        <v>149</v>
      </c>
      <c r="D4" s="209" t="s">
        <v>150</v>
      </c>
      <c r="E4" s="210" t="s">
        <v>151</v>
      </c>
      <c r="F4" s="210" t="s">
        <v>152</v>
      </c>
      <c r="G4" s="211" t="s">
        <v>153</v>
      </c>
      <c r="H4" s="211" t="s">
        <v>154</v>
      </c>
      <c r="I4" s="211" t="s">
        <v>155</v>
      </c>
      <c r="J4" s="211" t="s">
        <v>156</v>
      </c>
      <c r="K4" s="210" t="s">
        <v>157</v>
      </c>
      <c r="L4" s="212" t="s">
        <v>158</v>
      </c>
      <c r="M4" s="213" t="s">
        <v>159</v>
      </c>
      <c r="N4" s="214"/>
      <c r="O4" s="215" t="s">
        <v>160</v>
      </c>
      <c r="P4" s="216"/>
      <c r="Q4" s="217" t="s">
        <v>161</v>
      </c>
      <c r="R4" s="218" t="s">
        <v>162</v>
      </c>
    </row>
    <row r="5" spans="1:18">
      <c r="A5" s="209"/>
      <c r="B5" s="209"/>
      <c r="C5" s="209" t="s">
        <v>122</v>
      </c>
      <c r="D5" s="209" t="s">
        <v>122</v>
      </c>
      <c r="E5" s="209" t="s">
        <v>163</v>
      </c>
      <c r="F5" s="209"/>
      <c r="G5" s="219" t="s">
        <v>163</v>
      </c>
      <c r="H5" s="219"/>
      <c r="I5" s="219"/>
      <c r="J5" s="219" t="s">
        <v>164</v>
      </c>
      <c r="K5" s="209" t="s">
        <v>165</v>
      </c>
      <c r="L5" s="212" t="s">
        <v>166</v>
      </c>
      <c r="M5" s="220" t="s">
        <v>167</v>
      </c>
      <c r="N5" s="219"/>
      <c r="O5" s="33" t="s">
        <v>168</v>
      </c>
      <c r="P5" s="218" t="s">
        <v>169</v>
      </c>
      <c r="Q5" s="221"/>
      <c r="R5" s="222"/>
    </row>
    <row r="6" spans="1:18" ht="15.75">
      <c r="A6" s="223">
        <v>1</v>
      </c>
      <c r="B6" s="174" t="s">
        <v>12</v>
      </c>
      <c r="C6" s="174">
        <f>1433+1375</f>
        <v>2808</v>
      </c>
      <c r="D6" s="174">
        <v>788</v>
      </c>
      <c r="E6" s="174">
        <v>0</v>
      </c>
      <c r="F6" s="174">
        <v>0</v>
      </c>
      <c r="G6" s="174">
        <v>0</v>
      </c>
      <c r="H6" s="174">
        <v>0</v>
      </c>
      <c r="I6" s="174">
        <v>94</v>
      </c>
      <c r="J6" s="174">
        <v>618</v>
      </c>
      <c r="K6" s="174">
        <v>0</v>
      </c>
      <c r="L6" s="174">
        <f>181+66</f>
        <v>247</v>
      </c>
      <c r="M6" s="174">
        <f>50+20</f>
        <v>70</v>
      </c>
      <c r="N6" s="174">
        <f t="shared" ref="N6:N16" si="0">C6+D6+E6+F6+G6+H6+I6+J6+K6+L6+M6+O6+P6</f>
        <v>4625</v>
      </c>
      <c r="O6" s="174">
        <v>0</v>
      </c>
      <c r="P6" s="174">
        <v>0</v>
      </c>
      <c r="Q6" s="174">
        <f>2153+841</f>
        <v>2994</v>
      </c>
      <c r="R6" s="174">
        <f>1011+620</f>
        <v>1631</v>
      </c>
    </row>
    <row r="7" spans="1:18" ht="15.75">
      <c r="A7" s="223">
        <v>2</v>
      </c>
      <c r="B7" s="174" t="s">
        <v>13</v>
      </c>
      <c r="C7" s="174">
        <f>1280+1795</f>
        <v>3075</v>
      </c>
      <c r="D7" s="174">
        <v>722</v>
      </c>
      <c r="E7" s="174">
        <v>0</v>
      </c>
      <c r="F7" s="174">
        <v>0</v>
      </c>
      <c r="G7" s="174">
        <v>0</v>
      </c>
      <c r="H7" s="174">
        <v>0</v>
      </c>
      <c r="I7" s="174">
        <v>0</v>
      </c>
      <c r="J7" s="174">
        <v>391</v>
      </c>
      <c r="K7" s="174">
        <v>0</v>
      </c>
      <c r="L7" s="174">
        <f>135+18</f>
        <v>153</v>
      </c>
      <c r="M7" s="174">
        <v>0</v>
      </c>
      <c r="N7" s="174">
        <f t="shared" si="0"/>
        <v>4341</v>
      </c>
      <c r="O7" s="174">
        <v>0</v>
      </c>
      <c r="P7" s="174">
        <v>0</v>
      </c>
      <c r="Q7" s="174">
        <f>1658+1218</f>
        <v>2876</v>
      </c>
      <c r="R7" s="174">
        <f>870+595</f>
        <v>1465</v>
      </c>
    </row>
    <row r="8" spans="1:18" ht="15.75">
      <c r="A8" s="223">
        <v>3</v>
      </c>
      <c r="B8" s="174" t="s">
        <v>14</v>
      </c>
      <c r="C8" s="174">
        <f>2042+500</f>
        <v>2542</v>
      </c>
      <c r="D8" s="174">
        <v>356</v>
      </c>
      <c r="E8" s="174">
        <v>0</v>
      </c>
      <c r="F8" s="174">
        <v>0</v>
      </c>
      <c r="G8" s="174">
        <v>0</v>
      </c>
      <c r="H8" s="174">
        <v>0</v>
      </c>
      <c r="I8" s="174">
        <v>72</v>
      </c>
      <c r="J8" s="174">
        <v>407</v>
      </c>
      <c r="K8" s="174">
        <v>0</v>
      </c>
      <c r="L8" s="174">
        <f>216+101</f>
        <v>317</v>
      </c>
      <c r="M8" s="174">
        <v>0</v>
      </c>
      <c r="N8" s="174">
        <f t="shared" si="0"/>
        <v>3694</v>
      </c>
      <c r="O8" s="174">
        <v>0</v>
      </c>
      <c r="P8" s="174">
        <v>0</v>
      </c>
      <c r="Q8" s="174">
        <f>2119+399</f>
        <v>2518</v>
      </c>
      <c r="R8" s="174">
        <f>974+202</f>
        <v>1176</v>
      </c>
    </row>
    <row r="9" spans="1:18" ht="15.75">
      <c r="A9" s="223">
        <v>4</v>
      </c>
      <c r="B9" s="174" t="s">
        <v>15</v>
      </c>
      <c r="C9" s="174">
        <f>3149+921</f>
        <v>4070</v>
      </c>
      <c r="D9" s="174">
        <v>325</v>
      </c>
      <c r="E9" s="174">
        <v>190</v>
      </c>
      <c r="F9" s="174">
        <v>0</v>
      </c>
      <c r="G9" s="174">
        <v>0</v>
      </c>
      <c r="H9" s="174">
        <v>0</v>
      </c>
      <c r="I9" s="174">
        <v>0</v>
      </c>
      <c r="J9" s="174">
        <v>257</v>
      </c>
      <c r="K9" s="174">
        <v>0</v>
      </c>
      <c r="L9" s="174">
        <v>0</v>
      </c>
      <c r="M9" s="174">
        <v>40</v>
      </c>
      <c r="N9" s="174">
        <f t="shared" si="0"/>
        <v>4882</v>
      </c>
      <c r="O9" s="174">
        <v>0</v>
      </c>
      <c r="P9" s="174">
        <v>0</v>
      </c>
      <c r="Q9" s="174">
        <f>2802+774</f>
        <v>3576</v>
      </c>
      <c r="R9" s="174">
        <f>1159+147</f>
        <v>1306</v>
      </c>
    </row>
    <row r="10" spans="1:18" ht="15.75">
      <c r="A10" s="223">
        <v>5</v>
      </c>
      <c r="B10" s="174" t="s">
        <v>16</v>
      </c>
      <c r="C10" s="174">
        <f>888+686</f>
        <v>1574</v>
      </c>
      <c r="D10" s="174">
        <f>1758+1400</f>
        <v>3158</v>
      </c>
      <c r="E10" s="174">
        <v>0</v>
      </c>
      <c r="F10" s="174">
        <v>0</v>
      </c>
      <c r="G10" s="174">
        <v>0</v>
      </c>
      <c r="H10" s="174">
        <v>0</v>
      </c>
      <c r="I10" s="174">
        <v>0</v>
      </c>
      <c r="J10" s="174">
        <v>53</v>
      </c>
      <c r="K10" s="174">
        <v>0</v>
      </c>
      <c r="L10" s="174">
        <f>157+196</f>
        <v>353</v>
      </c>
      <c r="M10" s="174">
        <v>0</v>
      </c>
      <c r="N10" s="174">
        <f t="shared" si="0"/>
        <v>5138</v>
      </c>
      <c r="O10" s="174">
        <v>0</v>
      </c>
      <c r="P10" s="174">
        <v>0</v>
      </c>
      <c r="Q10" s="174">
        <f>2289+1794</f>
        <v>4083</v>
      </c>
      <c r="R10" s="174">
        <f>567+488</f>
        <v>1055</v>
      </c>
    </row>
    <row r="11" spans="1:18" ht="15.75">
      <c r="A11" s="223">
        <v>6</v>
      </c>
      <c r="B11" s="174" t="s">
        <v>17</v>
      </c>
      <c r="C11" s="174">
        <f>628+330</f>
        <v>958</v>
      </c>
      <c r="D11" s="174">
        <v>255</v>
      </c>
      <c r="E11" s="174">
        <v>44</v>
      </c>
      <c r="F11" s="174">
        <v>0</v>
      </c>
      <c r="G11" s="174">
        <v>0</v>
      </c>
      <c r="H11" s="174">
        <v>0</v>
      </c>
      <c r="I11" s="174">
        <v>0</v>
      </c>
      <c r="J11" s="174">
        <v>161</v>
      </c>
      <c r="K11" s="174">
        <v>0</v>
      </c>
      <c r="L11" s="174">
        <f>128+96</f>
        <v>224</v>
      </c>
      <c r="M11" s="174">
        <v>40</v>
      </c>
      <c r="N11" s="174">
        <f t="shared" si="0"/>
        <v>1682</v>
      </c>
      <c r="O11" s="174">
        <v>0</v>
      </c>
      <c r="P11" s="174">
        <v>0</v>
      </c>
      <c r="Q11" s="174">
        <f>815+304</f>
        <v>1119</v>
      </c>
      <c r="R11" s="174">
        <f>397+166</f>
        <v>563</v>
      </c>
    </row>
    <row r="12" spans="1:18" ht="15.75">
      <c r="A12" s="223">
        <v>7</v>
      </c>
      <c r="B12" s="174" t="s">
        <v>18</v>
      </c>
      <c r="C12" s="174">
        <f>1059+210</f>
        <v>1269</v>
      </c>
      <c r="D12" s="174">
        <v>165</v>
      </c>
      <c r="E12" s="174">
        <f>200+160</f>
        <v>360</v>
      </c>
      <c r="F12" s="174">
        <v>0</v>
      </c>
      <c r="G12" s="174">
        <v>0</v>
      </c>
      <c r="H12" s="174">
        <v>0</v>
      </c>
      <c r="I12" s="174">
        <v>13</v>
      </c>
      <c r="J12" s="174">
        <v>100</v>
      </c>
      <c r="K12" s="174">
        <v>0</v>
      </c>
      <c r="L12" s="174">
        <v>120</v>
      </c>
      <c r="M12" s="174">
        <v>0</v>
      </c>
      <c r="N12" s="174">
        <f t="shared" si="0"/>
        <v>2027</v>
      </c>
      <c r="O12" s="174">
        <v>0</v>
      </c>
      <c r="P12" s="174">
        <v>0</v>
      </c>
      <c r="Q12" s="174">
        <f>847+395</f>
        <v>1242</v>
      </c>
      <c r="R12" s="174">
        <f>690+95</f>
        <v>785</v>
      </c>
    </row>
    <row r="13" spans="1:18" ht="15.75">
      <c r="A13" s="223">
        <v>8</v>
      </c>
      <c r="B13" s="174" t="s">
        <v>19</v>
      </c>
      <c r="C13" s="174">
        <f>1208+954</f>
        <v>2162</v>
      </c>
      <c r="D13" s="174">
        <v>128</v>
      </c>
      <c r="E13" s="174">
        <v>0</v>
      </c>
      <c r="F13" s="174">
        <v>0</v>
      </c>
      <c r="G13" s="174">
        <v>0</v>
      </c>
      <c r="H13" s="174">
        <v>0</v>
      </c>
      <c r="I13" s="174">
        <v>29</v>
      </c>
      <c r="J13" s="174">
        <v>400</v>
      </c>
      <c r="K13" s="174">
        <v>30</v>
      </c>
      <c r="L13" s="174">
        <f>243+120</f>
        <v>363</v>
      </c>
      <c r="M13" s="174">
        <v>0</v>
      </c>
      <c r="N13" s="174">
        <f t="shared" si="0"/>
        <v>3112</v>
      </c>
      <c r="O13" s="174">
        <v>0</v>
      </c>
      <c r="P13" s="174">
        <v>0</v>
      </c>
      <c r="Q13" s="174">
        <f>1048+814</f>
        <v>1862</v>
      </c>
      <c r="R13" s="174">
        <f>862+388</f>
        <v>1250</v>
      </c>
    </row>
    <row r="14" spans="1:18" ht="15.75">
      <c r="A14" s="223">
        <v>9</v>
      </c>
      <c r="B14" s="174" t="s">
        <v>20</v>
      </c>
      <c r="C14" s="174">
        <f>978+1069</f>
        <v>2047</v>
      </c>
      <c r="D14" s="174">
        <v>170</v>
      </c>
      <c r="E14" s="174">
        <v>169</v>
      </c>
      <c r="F14" s="174">
        <v>0</v>
      </c>
      <c r="G14" s="174">
        <v>0</v>
      </c>
      <c r="H14" s="174">
        <v>50</v>
      </c>
      <c r="I14" s="174">
        <v>36</v>
      </c>
      <c r="J14" s="174">
        <v>400</v>
      </c>
      <c r="K14" s="174">
        <v>0</v>
      </c>
      <c r="L14" s="174">
        <v>150</v>
      </c>
      <c r="M14" s="174">
        <v>0</v>
      </c>
      <c r="N14" s="174">
        <f t="shared" si="0"/>
        <v>3022</v>
      </c>
      <c r="O14" s="174">
        <v>0</v>
      </c>
      <c r="P14" s="174">
        <v>0</v>
      </c>
      <c r="Q14" s="174">
        <f>1001+925</f>
        <v>1926</v>
      </c>
      <c r="R14" s="174">
        <f>752+344</f>
        <v>1096</v>
      </c>
    </row>
    <row r="15" spans="1:18" ht="15.75">
      <c r="A15" s="223">
        <v>10</v>
      </c>
      <c r="B15" s="174" t="s">
        <v>21</v>
      </c>
      <c r="C15" s="174">
        <f>1554+893</f>
        <v>2447</v>
      </c>
      <c r="D15" s="174">
        <v>300</v>
      </c>
      <c r="E15" s="174">
        <v>225</v>
      </c>
      <c r="F15" s="174">
        <v>0</v>
      </c>
      <c r="G15" s="174">
        <v>0</v>
      </c>
      <c r="H15" s="174">
        <v>0</v>
      </c>
      <c r="I15" s="174">
        <v>64</v>
      </c>
      <c r="J15" s="174">
        <v>400</v>
      </c>
      <c r="K15" s="174">
        <v>0</v>
      </c>
      <c r="L15" s="174">
        <v>0</v>
      </c>
      <c r="M15" s="174">
        <v>0</v>
      </c>
      <c r="N15" s="174">
        <f t="shared" si="0"/>
        <v>3436</v>
      </c>
      <c r="O15" s="174">
        <v>0</v>
      </c>
      <c r="P15" s="174">
        <v>0</v>
      </c>
      <c r="Q15" s="174">
        <f>1643+598</f>
        <v>2241</v>
      </c>
      <c r="R15" s="174">
        <f>900+295</f>
        <v>1195</v>
      </c>
    </row>
    <row r="16" spans="1:18" ht="15.75">
      <c r="A16" s="224">
        <v>11</v>
      </c>
      <c r="B16" s="168" t="s">
        <v>22</v>
      </c>
      <c r="C16" s="174">
        <f>778+804</f>
        <v>1582</v>
      </c>
      <c r="D16" s="174">
        <v>0</v>
      </c>
      <c r="E16" s="174">
        <v>0</v>
      </c>
      <c r="F16" s="174">
        <v>0</v>
      </c>
      <c r="G16" s="174">
        <v>0</v>
      </c>
      <c r="H16" s="174">
        <v>0</v>
      </c>
      <c r="I16" s="174">
        <v>30</v>
      </c>
      <c r="J16" s="174">
        <v>400</v>
      </c>
      <c r="K16" s="174">
        <v>0</v>
      </c>
      <c r="L16" s="174">
        <v>20</v>
      </c>
      <c r="M16" s="174"/>
      <c r="N16" s="174">
        <f t="shared" si="0"/>
        <v>2032</v>
      </c>
      <c r="O16" s="174">
        <v>0</v>
      </c>
      <c r="P16" s="174">
        <v>0</v>
      </c>
      <c r="Q16" s="174">
        <f>694+570</f>
        <v>1264</v>
      </c>
      <c r="R16" s="174">
        <f>534+234</f>
        <v>768</v>
      </c>
    </row>
  </sheetData>
  <mergeCells count="2">
    <mergeCell ref="A1:R1"/>
    <mergeCell ref="A2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Area &amp; Production Group Wise</vt:lpstr>
      <vt:lpstr>Area &amp; Production Fruit Wise</vt:lpstr>
      <vt:lpstr>Plants Distribution</vt:lpstr>
      <vt:lpstr>Floriculture</vt:lpstr>
      <vt:lpstr>Bee-keeping</vt:lpstr>
      <vt:lpstr>Training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2022-08-25T10:03:37Z</dcterms:modified>
</cp:coreProperties>
</file>